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18.png" ContentType="image/png"/>
  <Override PartName="/xl/media/image23.png" ContentType="image/png"/>
  <Override PartName="/xl/media/image19.png" ContentType="image/png"/>
  <Override PartName="/xl/media/image24.png" ContentType="image/png"/>
  <Override PartName="/xl/media/image20.png" ContentType="image/png"/>
  <Override PartName="/xl/media/image21.png" ContentType="image/png"/>
  <Override PartName="/xl/media/image22.png" ContentType="image/png"/>
  <Override PartName="/xl/media/image25.png" ContentType="image/png"/>
  <Override PartName="/xl/media/image26.png" ContentType="image/png"/>
  <Override PartName="/xl/media/image27.png" ContentType="image/png"/>
  <Override PartName="/xl/media/image28.png" ContentType="image/png"/>
  <Override PartName="/xl/media/image29.png" ContentType="image/png"/>
  <Override PartName="/xl/media/image30.png" ContentType="image/png"/>
  <Override PartName="/xl/media/image31.png" ContentType="image/png"/>
  <Override PartName="/xl/media/image32.png" ContentType="image/png"/>
  <Override PartName="/xl/media/image33.png" ContentType="image/png"/>
  <Override PartName="/xl/media/image34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en" sheetId="1" state="visible" r:id="rId2"/>
    <sheet name="VOL" sheetId="2" state="visible" r:id="rId3"/>
    <sheet name="CHART12" sheetId="3" state="visible" r:id="rId4"/>
  </sheets>
  <definedNames>
    <definedName function="false" hidden="false" localSheetId="1" name="しーた" vbProcedure="false">VOL!$G$1</definedName>
    <definedName function="false" hidden="false" localSheetId="1" name="ぷさい" vbProcedure="false">VOL!$J$1</definedName>
    <definedName function="false" hidden="false" localSheetId="1" name="シータ" vbProcedure="false">VOL!$G$2</definedName>
    <definedName function="false" hidden="false" localSheetId="1" name="プサイ" vbProcedure="false">VOL!$J$2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<sst xmlns="http://schemas.openxmlformats.org/spreadsheetml/2006/main" count="472" uniqueCount="276">
  <si>
    <t xml:space="preserve">きゅうたい　　せきどうみあげ　ばん</t>
  </si>
  <si>
    <t xml:space="preserve">20250717 up</t>
  </si>
  <si>
    <r>
      <rPr>
        <sz val="12"/>
        <color rgb="FFB2B2B2"/>
        <rFont val="メイリオ"/>
        <family val="2"/>
        <charset val="128"/>
      </rPr>
      <t xml:space="preserve">Ｈ</t>
    </r>
    <r>
      <rPr>
        <sz val="12"/>
        <color rgb="FFB2B2B2"/>
        <rFont val="Arial"/>
        <family val="2"/>
        <charset val="128"/>
      </rPr>
      <t xml:space="preserve">15</t>
    </r>
    <r>
      <rPr>
        <sz val="12"/>
        <color rgb="FFB2B2B2"/>
        <rFont val="メイリオ"/>
        <family val="2"/>
        <charset val="128"/>
      </rPr>
      <t xml:space="preserve">　に　かくれている　にえんかく　を　よびだす　めいれい</t>
    </r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</si>
  <si>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DEGREES (  ACOS (  COS (  RADIANS  ( G9 ) )  *  COS (  RADIANS  ( J9 ) ) ) )</t>
    </r>
  </si>
  <si>
    <t xml:space="preserve">ふりむき</t>
  </si>
  <si>
    <t xml:space="preserve">せきどうみあげ</t>
  </si>
  <si>
    <r>
      <rPr>
        <sz val="14"/>
        <rFont val="Arial"/>
        <family val="2"/>
        <charset val="128"/>
      </rPr>
      <t xml:space="preserve">θ</t>
    </r>
    <r>
      <rPr>
        <sz val="14"/>
        <rFont val="メイリオ"/>
        <family val="2"/>
        <charset val="128"/>
      </rPr>
      <t xml:space="preserve">　∠ </t>
    </r>
  </si>
  <si>
    <t xml:space="preserve"> ど</t>
  </si>
  <si>
    <r>
      <rPr>
        <sz val="13"/>
        <rFont val="Arial"/>
        <family val="2"/>
        <charset val="128"/>
      </rPr>
      <t xml:space="preserve">Ψ</t>
    </r>
    <r>
      <rPr>
        <sz val="14"/>
        <rFont val="メイリオ"/>
        <family val="2"/>
        <charset val="128"/>
      </rPr>
      <t xml:space="preserve">　∠ </t>
    </r>
  </si>
  <si>
    <t xml:space="preserve">カクド　を　どすうほう　で　だしてください</t>
  </si>
  <si>
    <t xml:space="preserve">つぎの　２つ　を　かけあわせて　あーくこさいん　で　もとめてください </t>
  </si>
  <si>
    <t xml:space="preserve">◇　すいへい　　かいてん　を　こさいん で よみとって ください</t>
  </si>
  <si>
    <t xml:space="preserve">にえんかく  </t>
  </si>
  <si>
    <t xml:space="preserve">ど</t>
  </si>
  <si>
    <t xml:space="preserve">　に　なります</t>
  </si>
  <si>
    <t xml:space="preserve">◇　すいちょく　かいてん　は　せきどう　からの　みあげる　カクド　を　こさいん　で よみとってください</t>
  </si>
  <si>
    <t xml:space="preserve">角　活　率  </t>
  </si>
  <si>
    <t xml:space="preserve">パーセント</t>
  </si>
  <si>
    <r>
      <rPr>
        <sz val="12"/>
        <color rgb="FFFF0000"/>
        <rFont val="メイリオ"/>
        <family val="2"/>
        <charset val="128"/>
      </rPr>
      <t xml:space="preserve">　　　</t>
    </r>
    <r>
      <rPr>
        <b val="true"/>
        <sz val="12"/>
        <color rgb="FFFF0000"/>
        <rFont val="メイリオ"/>
        <family val="2"/>
        <charset val="128"/>
      </rPr>
      <t xml:space="preserve">にえんかく</t>
    </r>
    <r>
      <rPr>
        <sz val="12"/>
        <color rgb="FFFF0000"/>
        <rFont val="メイリオ"/>
        <family val="2"/>
        <charset val="128"/>
      </rPr>
      <t xml:space="preserve">　→　　</t>
    </r>
    <r>
      <rPr>
        <b val="true"/>
        <sz val="12"/>
        <color rgb="FFFF0000"/>
        <rFont val="メイリオ"/>
        <family val="2"/>
        <charset val="128"/>
      </rPr>
      <t xml:space="preserve">８しゅへんかん</t>
    </r>
  </si>
  <si>
    <t xml:space="preserve">Ｒ１球面座標</t>
  </si>
  <si>
    <t xml:space="preserve">x</t>
  </si>
  <si>
    <t xml:space="preserve">ｉ</t>
  </si>
  <si>
    <t xml:space="preserve">ｊ</t>
  </si>
  <si>
    <r>
      <rPr>
        <sz val="10"/>
        <color rgb="FFFFBF00"/>
        <rFont val="Arial"/>
        <family val="2"/>
        <charset val="128"/>
      </rPr>
      <t xml:space="preserve">XYZ </t>
    </r>
    <r>
      <rPr>
        <sz val="10"/>
        <color rgb="FFFFBF00"/>
        <rFont val="メイリオ"/>
        <family val="2"/>
        <charset val="128"/>
      </rPr>
      <t xml:space="preserve">３</t>
    </r>
    <r>
      <rPr>
        <sz val="10"/>
        <color rgb="FFFFBF00"/>
        <rFont val="Arial"/>
        <family val="2"/>
        <charset val="128"/>
      </rPr>
      <t xml:space="preserve">D </t>
    </r>
    <r>
      <rPr>
        <sz val="10"/>
        <color rgb="FFFFBF00"/>
        <rFont val="メイリオ"/>
        <family val="2"/>
        <charset val="128"/>
      </rPr>
      <t xml:space="preserve">ピタゴラス</t>
    </r>
  </si>
  <si>
    <t xml:space="preserve">　cho°</t>
  </si>
  <si>
    <t xml:space="preserve">X  cosθ  * cosΨ</t>
  </si>
  <si>
    <t xml:space="preserve">ｙ → ｊ  高さ</t>
  </si>
  <si>
    <t xml:space="preserve">半径１の確認</t>
  </si>
  <si>
    <t xml:space="preserve">y   sin Ψ</t>
  </si>
  <si>
    <t xml:space="preserve">z   cosΨ * sin θ</t>
  </si>
  <si>
    <r>
      <rPr>
        <sz val="10"/>
        <color rgb="FFC9211E"/>
        <rFont val="Arial"/>
        <family val="2"/>
        <charset val="128"/>
      </rPr>
      <t xml:space="preserve">×yz → </t>
    </r>
    <r>
      <rPr>
        <sz val="10"/>
        <color rgb="FFC9211E"/>
        <rFont val="メイリオ"/>
        <family val="2"/>
        <charset val="128"/>
      </rPr>
      <t xml:space="preserve">ｘｊｉ</t>
    </r>
  </si>
  <si>
    <t xml:space="preserve">θ</t>
  </si>
  <si>
    <t xml:space="preserve">Ψ</t>
  </si>
  <si>
    <t xml:space="preserve">にえんかく</t>
  </si>
  <si>
    <t xml:space="preserve">ふりむき　∠　</t>
  </si>
  <si>
    <t xml:space="preserve">みあげ　∠　</t>
  </si>
  <si>
    <t xml:space="preserve">Φ</t>
  </si>
  <si>
    <t xml:space="preserve">にめんかく</t>
  </si>
  <si>
    <t xml:space="preserve">みおろし  ∠ </t>
  </si>
  <si>
    <t xml:space="preserve">Ｒ</t>
  </si>
  <si>
    <t xml:space="preserve">にみんかく</t>
  </si>
  <si>
    <t xml:space="preserve">あーるひ　　</t>
  </si>
  <si>
    <t xml:space="preserve"> ％</t>
  </si>
  <si>
    <t xml:space="preserve">にうんかく</t>
  </si>
  <si>
    <t xml:space="preserve">たかさ　　</t>
  </si>
  <si>
    <t xml:space="preserve">ｃｍ</t>
  </si>
  <si>
    <t xml:space="preserve">巾</t>
  </si>
  <si>
    <t xml:space="preserve">にてんかく</t>
  </si>
  <si>
    <t xml:space="preserve">りつめん　∠</t>
  </si>
  <si>
    <t xml:space="preserve">山</t>
  </si>
  <si>
    <t xml:space="preserve">にりんかく</t>
  </si>
  <si>
    <t xml:space="preserve">そくめん　∠</t>
  </si>
  <si>
    <t xml:space="preserve">にもんかく</t>
  </si>
  <si>
    <t xml:space="preserve">そくめん　∠　</t>
  </si>
  <si>
    <t xml:space="preserve">ｘ</t>
  </si>
  <si>
    <t xml:space="preserve">まえへ　</t>
  </si>
  <si>
    <t xml:space="preserve">にげんかく</t>
  </si>
  <si>
    <t xml:space="preserve">よこへ　</t>
  </si>
  <si>
    <t xml:space="preserve">うえへ　</t>
  </si>
  <si>
    <t xml:space="preserve">cho°</t>
  </si>
  <si>
    <t xml:space="preserve">cho°　ぶんり</t>
  </si>
  <si>
    <t xml:space="preserve">やーまー　</t>
  </si>
  <si>
    <t xml:space="preserve">よーだー　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</si>
  <si>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</si>
  <si>
    <t xml:space="preserve">250716 up  H17　に　角 活 率　を　追加</t>
  </si>
  <si>
    <t xml:space="preserve">241205 up  ∠みひらき　かくど　したに　ラジアン たんい　ついか　(H16 白文字)</t>
  </si>
  <si>
    <t xml:space="preserve">241203 up 最下行に cho°ぶんり ついか</t>
  </si>
  <si>
    <t xml:space="preserve">241130 up  (J4) 100 cho° に 対応させるため Ｘ座標 ＝－１判別</t>
  </si>
  <si>
    <t xml:space="preserve">93per</t>
  </si>
  <si>
    <t xml:space="preserve">20241130 up</t>
  </si>
  <si>
    <t xml:space="preserve">　　　にえんかく　　　ばーじょん　ひかく</t>
  </si>
  <si>
    <t xml:space="preserve">Ctrl　を　おしながら　クリック　↓</t>
  </si>
  <si>
    <t xml:space="preserve">うん の 型</t>
  </si>
  <si>
    <t xml:space="preserve">もん の 型</t>
  </si>
  <si>
    <t xml:space="preserve">えん の 型</t>
  </si>
  <si>
    <t xml:space="preserve">げん の 型</t>
  </si>
  <si>
    <t xml:space="preserve">じっそう</t>
  </si>
  <si>
    <t xml:space="preserve">モード</t>
  </si>
  <si>
    <t xml:space="preserve">てん の 型</t>
  </si>
  <si>
    <t xml:space="preserve">みん の 型</t>
  </si>
  <si>
    <t xml:space="preserve">めん の 型</t>
  </si>
  <si>
    <t xml:space="preserve">りん の 型</t>
  </si>
  <si>
    <t xml:space="preserve">せいしき</t>
  </si>
  <si>
    <t xml:space="preserve">こさいん</t>
  </si>
  <si>
    <t xml:space="preserve">θ　∠ </t>
  </si>
  <si>
    <r>
      <rPr>
        <sz val="15"/>
        <rFont val="Arial"/>
        <family val="2"/>
        <charset val="128"/>
      </rPr>
      <t xml:space="preserve">Ψ</t>
    </r>
    <r>
      <rPr>
        <sz val="14"/>
        <rFont val="メイリオ"/>
        <family val="2"/>
        <charset val="128"/>
      </rPr>
      <t xml:space="preserve">　∠ </t>
    </r>
  </si>
  <si>
    <t xml:space="preserve">Ctrl　クリック</t>
  </si>
  <si>
    <r>
      <rPr>
        <sz val="10"/>
        <color rgb="FFB2B2B2"/>
        <rFont val="Arial"/>
        <family val="2"/>
        <charset val="128"/>
      </rPr>
      <t xml:space="preserve">IF  (  θ  = "" , "- -" )  </t>
    </r>
    <r>
      <rPr>
        <sz val="10"/>
        <color rgb="FFB2B2B2"/>
        <rFont val="メイリオ"/>
        <family val="2"/>
        <charset val="128"/>
      </rPr>
      <t xml:space="preserve">型 式</t>
    </r>
  </si>
  <si>
    <t xml:space="preserve">　こさいん　のみ</t>
  </si>
  <si>
    <t xml:space="preserve">★　　にえんかく  シート１　の　しき　　</t>
  </si>
  <si>
    <t xml:space="preserve">さんぷる　として　の　かたち</t>
  </si>
  <si>
    <t xml:space="preserve">∠　カクド　が　みにゅうりょく　の　とき　は、　しょうけい　を　ださない　ほうが　いいという　ひと</t>
  </si>
  <si>
    <r>
      <rPr>
        <sz val="10"/>
        <color rgb="FFB2B2B2"/>
        <rFont val="Arial"/>
        <family val="2"/>
        <charset val="128"/>
      </rPr>
      <t xml:space="preserve">(  θ  RADIANS )  </t>
    </r>
    <r>
      <rPr>
        <sz val="10"/>
        <color rgb="FFB2B2B2"/>
        <rFont val="メイリオ"/>
        <family val="2"/>
        <charset val="128"/>
      </rPr>
      <t xml:space="preserve">型 式</t>
    </r>
  </si>
  <si>
    <t xml:space="preserve">★　　にえんかく  せいしき　　</t>
  </si>
  <si>
    <t xml:space="preserve">かくどへんかん　ぶぶん　を　しめした　かたち</t>
  </si>
  <si>
    <t xml:space="preserve">らじあん　へんかん　を　メイレイ　( RADIANS )　で　やった　ばあい　。　ハイクオリティ　ひかく　が　できます　..、</t>
  </si>
  <si>
    <r>
      <rPr>
        <sz val="10"/>
        <color rgb="FFB2B2B2"/>
        <rFont val="Arial"/>
        <family val="2"/>
        <charset val="128"/>
      </rPr>
      <t xml:space="preserve">( </t>
    </r>
    <r>
      <rPr>
        <sz val="10"/>
        <color rgb="FFB2B2B2"/>
        <rFont val="メイリオ"/>
        <family val="2"/>
        <charset val="128"/>
      </rPr>
      <t xml:space="preserve">ど </t>
    </r>
    <r>
      <rPr>
        <sz val="10"/>
        <color rgb="FFB2B2B2"/>
        <rFont val="Arial"/>
        <family val="2"/>
        <charset val="128"/>
      </rPr>
      <t xml:space="preserve">÷ 57.3 )   </t>
    </r>
    <r>
      <rPr>
        <sz val="10"/>
        <color rgb="FFB2B2B2"/>
        <rFont val="メイリオ"/>
        <family val="2"/>
        <charset val="128"/>
      </rPr>
      <t xml:space="preserve">型　式</t>
    </r>
  </si>
  <si>
    <t xml:space="preserve">(　モード　とうさい　)</t>
  </si>
  <si>
    <t xml:space="preserve">にえんかく　モード　とうさい　しき　　</t>
  </si>
  <si>
    <t xml:space="preserve">およその　らじあん　へんかん　ばいりつ　で　けいさんする　かたち</t>
  </si>
  <si>
    <t xml:space="preserve">らじあん　へんかん　(　57.2957 ..　ど　)　を　57.3　ど　で　やった　ばあい　。　ロークオリティ　ひかく　が　できます　..、</t>
  </si>
  <si>
    <t xml:space="preserve">ACOS ( COS　×　COS )</t>
  </si>
  <si>
    <t xml:space="preserve">　(　円　の　型　改　)</t>
  </si>
  <si>
    <t xml:space="preserve">にえんかく  こさいん　だけの　しき　　</t>
  </si>
  <si>
    <t xml:space="preserve">がっこう　で　でてくる　パイ　( 兀 )　で　しめした　かたち</t>
  </si>
  <si>
    <t xml:space="preserve">さんかくかんすう　は　「　こさいん　しか　おぼえたくない　」　ひと　。これで　いけます。　すこし　ながく　なりますが　..、</t>
  </si>
  <si>
    <t xml:space="preserve">　(　型　式　)</t>
  </si>
  <si>
    <t xml:space="preserve">★★　　　にえんかく  えん　の　型　　</t>
  </si>
  <si>
    <t xml:space="preserve">せきどう　から　の　みあげる　かたち</t>
  </si>
  <si>
    <t xml:space="preserve">にえんかく （　ちきゅうぎ　） てき　に　かんがえたい　ひと　。</t>
  </si>
  <si>
    <t xml:space="preserve">ACOS ( COS　×　SIN )</t>
  </si>
  <si>
    <t xml:space="preserve">にえんかく  めん　の　型　　</t>
  </si>
  <si>
    <t xml:space="preserve">ほっきょく　から　の　みおろす　かたち</t>
  </si>
  <si>
    <t xml:space="preserve">にめんかく （　ちきゅうぎ　） てき　に　かんがえたい　ひと　。</t>
  </si>
  <si>
    <r>
      <rPr>
        <sz val="10"/>
        <color rgb="FFB2B2B2"/>
        <rFont val="メイリオ"/>
        <family val="2"/>
        <charset val="128"/>
      </rPr>
      <t xml:space="preserve">ACOT ( △　÷　√ □ ＋ ■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</si>
  <si>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にえんかく  げん　の　型　　</t>
  </si>
  <si>
    <t xml:space="preserve">りん　の　型　を　ぎゃくすう　に　した　かたち</t>
  </si>
  <si>
    <t xml:space="preserve">はこ　の　りつめん　の　たいかくせん　を　きじゅん　(　ながさ　１　)　に　かんがえたい　というひと　</t>
  </si>
  <si>
    <r>
      <rPr>
        <sz val="10"/>
        <color rgb="FFB2B2B2"/>
        <rFont val="メイリオ"/>
        <family val="2"/>
        <charset val="128"/>
      </rPr>
      <t xml:space="preserve">ATAN ( √  ◆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  ＋    □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 </t>
    </r>
  </si>
  <si>
    <t xml:space="preserve">4quad</t>
  </si>
  <si>
    <t xml:space="preserve">にえんかく  りん　の　型　　</t>
  </si>
  <si>
    <t xml:space="preserve">は　ぜんご　たいおう　で　こちら</t>
  </si>
  <si>
    <t xml:space="preserve">　　が　まえ　4 quad　だけ　たいおう　の　しんぷる　な　りん　の　型　に　なります</t>
  </si>
  <si>
    <r>
      <rPr>
        <sz val="10"/>
        <color rgb="FFB2B2B2"/>
        <rFont val="メイリオ"/>
        <family val="2"/>
        <charset val="128"/>
      </rPr>
      <t xml:space="preserve">ACOS ( △　÷　√  □ ＋ ■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</si>
  <si>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にえんかく  うん　の　型　　</t>
  </si>
  <si>
    <t xml:space="preserve">　　が　まえ　4 quad　だけ　たいおう　の　しんぷる　な　うん　の　型　に　なります</t>
  </si>
  <si>
    <t xml:space="preserve">ACOT ( COT　×　SIN )</t>
  </si>
  <si>
    <t xml:space="preserve">にえんかく  もん　の　型　　</t>
  </si>
  <si>
    <t xml:space="preserve">　　が　まえ　4 quad　だけ　たいおう　の　しんぷる　な　もん　の　型　に　なります</t>
  </si>
  <si>
    <t xml:space="preserve">ACOT ( COT　×　COS )</t>
  </si>
  <si>
    <t xml:space="preserve">にえんかく  てん　の　型　　</t>
  </si>
  <si>
    <t xml:space="preserve">　　が　まえ　4 quad　だけ　たいおう　の　しんぷる　な　てん　の　型　に　なります</t>
  </si>
  <si>
    <r>
      <rPr>
        <sz val="10"/>
        <color rgb="FFB2B2B2"/>
        <rFont val="メイリオ"/>
        <family val="2"/>
        <charset val="128"/>
      </rPr>
      <t xml:space="preserve">ACOS ( COS　×   </t>
    </r>
    <r>
      <rPr>
        <b val="true"/>
        <sz val="10"/>
        <color rgb="FFB2B2B2"/>
        <rFont val="メイリオ"/>
        <family val="2"/>
        <charset val="128"/>
      </rPr>
      <t xml:space="preserve">□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</si>
  <si>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にえんかく  みん　の　型　　</t>
  </si>
  <si>
    <t xml:space="preserve">みん の 型　は　めん・えん　の 型　と　おなじに　できます</t>
  </si>
  <si>
    <t xml:space="preserve">が、　あえて　ぎゃくすう　の　かんすう　で　とおまわり　した　かたちを　ようい　してみました。　ひかくよう　に　なります。</t>
  </si>
  <si>
    <t xml:space="preserve">(　型　式　)</t>
  </si>
  <si>
    <t xml:space="preserve">しんぷる</t>
  </si>
  <si>
    <t xml:space="preserve">じっせん</t>
  </si>
  <si>
    <t xml:space="preserve">★★　　　にえんかく  しんぷる　ばん　　</t>
  </si>
  <si>
    <t xml:space="preserve">じっせん　の　かたち</t>
  </si>
  <si>
    <t xml:space="preserve">これだけで　まったく　もんだいありません。　もっとも 、じっせんてき　に　なります</t>
  </si>
  <si>
    <t xml:space="preserve">↑</t>
  </si>
  <si>
    <t xml:space="preserve">けっか　の　セル　を　せんたく　すると　その　しき　が　みられます</t>
  </si>
  <si>
    <t xml:space="preserve"> 円　の　型</t>
  </si>
  <si>
    <t xml:space="preserve">　ACOS ( COS ( ◆ )　×　 COS ( ★ ) )</t>
  </si>
  <si>
    <t xml:space="preserve"> 麺　の　型</t>
  </si>
  <si>
    <t xml:space="preserve">　ACOS ( COS ( ◆ )　×　 SIN ( ☆ ) )</t>
  </si>
  <si>
    <t xml:space="preserve"> 眠　の　型</t>
  </si>
  <si>
    <t xml:space="preserve">　ACOS ( COS ( ◆ )　×　 (   ※   ) )</t>
  </si>
  <si>
    <t xml:space="preserve"> 展　の　型</t>
  </si>
  <si>
    <t xml:space="preserve">　ACOT ( COT ( ◆ )　×　 COS ( ▼ ) )</t>
  </si>
  <si>
    <t xml:space="preserve"> 門　の　型</t>
  </si>
  <si>
    <t xml:space="preserve">　ACOT ( COT ( ◎ )　×　 SIN ( ▼ ) )</t>
  </si>
  <si>
    <t xml:space="preserve"> 雲　の　型</t>
  </si>
  <si>
    <t xml:space="preserve">　ACOS (( △ )　÷　√ ( □ ＋ ■2 ) ) </t>
  </si>
  <si>
    <t xml:space="preserve"> 幻　の　型</t>
  </si>
  <si>
    <t xml:space="preserve">　ACOT (( △ )　÷　√ ( □ ＋ ■2 ) )</t>
  </si>
  <si>
    <t xml:space="preserve"> 隣　の　型</t>
  </si>
  <si>
    <t xml:space="preserve">　ATAN √(( ◆ )2     ＋     ( ◎ )2 ) </t>
  </si>
  <si>
    <t xml:space="preserve">241113 up</t>
  </si>
  <si>
    <t xml:space="preserve">★ </t>
  </si>
  <si>
    <t xml:space="preserve"> シート１ に　じっそう されている　式</t>
  </si>
  <si>
    <t xml:space="preserve">つぎへ</t>
  </si>
  <si>
    <t xml:space="preserve">二円角</t>
  </si>
  <si>
    <t xml:space="preserve">8quad</t>
  </si>
  <si>
    <t xml:space="preserve">まえへ</t>
  </si>
  <si>
    <r>
      <rPr>
        <sz val="15"/>
        <rFont val="メイリオ"/>
        <family val="2"/>
        <charset val="128"/>
      </rPr>
      <t xml:space="preserve">IF  (  θ  = "" , "- -" )</t>
    </r>
    <r>
      <rPr>
        <sz val="15"/>
        <color rgb="FFFF5429"/>
        <rFont val="メイリオ"/>
        <family val="2"/>
        <charset val="128"/>
      </rPr>
      <t xml:space="preserve">      型   式 </t>
    </r>
  </si>
  <si>
    <t xml:space="preserve">もし  θ  が　みにゅうりょく　のときは  「 - - 」 に 、　　それいがい　は　  型   式 　で</t>
  </si>
  <si>
    <t xml:space="preserve">完全なゼロど</t>
  </si>
  <si>
    <t xml:space="preserve">みにゅうりょく</t>
  </si>
  <si>
    <t xml:space="preserve">θ　→</t>
  </si>
  <si>
    <t xml:space="preserve">“- -”</t>
  </si>
  <si>
    <t xml:space="preserve">Ψ　↓</t>
  </si>
  <si>
    <t xml:space="preserve">　正　式</t>
  </si>
  <si>
    <t xml:space="preserve">　らじあん　( ctrl + クリック )  </t>
  </si>
  <si>
    <t xml:space="preserve">(ctrl + クリック)</t>
  </si>
  <si>
    <t xml:space="preserve">rad</t>
  </si>
  <si>
    <t xml:space="preserve">▼　せつめい  </t>
  </si>
  <si>
    <t xml:space="preserve">▼　らじあん</t>
  </si>
  <si>
    <r>
      <rPr>
        <sz val="15"/>
        <color rgb="FFFF6D6D"/>
        <rFont val="メイリオ"/>
        <family val="2"/>
        <charset val="128"/>
      </rPr>
      <t xml:space="preserve">    ACOS ( COS  (</t>
    </r>
    <r>
      <rPr>
        <sz val="15"/>
        <color rgb="FF3FAF46"/>
        <rFont val="メイリオ"/>
        <family val="2"/>
        <charset val="128"/>
      </rPr>
      <t xml:space="preserve"> </t>
    </r>
    <r>
      <rPr>
        <sz val="15"/>
        <rFont val="メイリオ"/>
        <family val="2"/>
        <charset val="128"/>
      </rPr>
      <t xml:space="preserve">RADIANS</t>
    </r>
    <r>
      <rPr>
        <sz val="15"/>
        <color rgb="FFFF6D6D"/>
        <rFont val="メイリオ"/>
        <family val="2"/>
        <charset val="128"/>
      </rPr>
      <t xml:space="preserve"> ( θ ))  ×  COS  (</t>
    </r>
    <r>
      <rPr>
        <sz val="15"/>
        <color rgb="FF3FAF46"/>
        <rFont val="メイリオ"/>
        <family val="2"/>
        <charset val="128"/>
      </rPr>
      <t xml:space="preserve"> </t>
    </r>
    <r>
      <rPr>
        <sz val="15"/>
        <rFont val="メイリオ"/>
        <family val="2"/>
        <charset val="128"/>
      </rPr>
      <t xml:space="preserve">RADIANS</t>
    </r>
    <r>
      <rPr>
        <sz val="15"/>
        <color rgb="FFFF6D6D"/>
        <rFont val="メイリオ"/>
        <family val="2"/>
        <charset val="128"/>
      </rPr>
      <t xml:space="preserve"> ( Ψ )) )</t>
    </r>
  </si>
  <si>
    <t xml:space="preserve">　モード　とうさい　式</t>
  </si>
  <si>
    <t xml:space="preserve">アバウト モード    (　57.2957 ..　ど　)</t>
  </si>
  <si>
    <r>
      <rPr>
        <sz val="15"/>
        <color rgb="FFFF3838"/>
        <rFont val="メイリオ"/>
        <family val="2"/>
        <charset val="128"/>
      </rPr>
      <t xml:space="preserve">ACOS ( COS  ( θ </t>
    </r>
    <r>
      <rPr>
        <sz val="13"/>
        <color rgb="FFFF3838"/>
        <rFont val="メイリオ"/>
        <family val="2"/>
        <charset val="128"/>
      </rPr>
      <t xml:space="preserve">ど</t>
    </r>
    <r>
      <rPr>
        <sz val="15"/>
        <color rgb="FFFF3838"/>
        <rFont val="メイリオ"/>
        <family val="2"/>
        <charset val="128"/>
      </rPr>
      <t xml:space="preserve"> </t>
    </r>
    <r>
      <rPr>
        <sz val="15"/>
        <color rgb="FF000000"/>
        <rFont val="メイリオ"/>
        <family val="2"/>
        <charset val="128"/>
      </rPr>
      <t xml:space="preserve">÷ 57.3</t>
    </r>
    <r>
      <rPr>
        <sz val="15"/>
        <color rgb="FFFF3838"/>
        <rFont val="メイリオ"/>
        <family val="2"/>
        <charset val="128"/>
      </rPr>
      <t xml:space="preserve"> )  ×  COS  ( Ψ </t>
    </r>
    <r>
      <rPr>
        <sz val="13"/>
        <color rgb="FFFF3838"/>
        <rFont val="メイリオ"/>
        <family val="2"/>
        <charset val="128"/>
      </rPr>
      <t xml:space="preserve">ど</t>
    </r>
    <r>
      <rPr>
        <sz val="15"/>
        <color rgb="FFFF3838"/>
        <rFont val="メイリオ"/>
        <family val="2"/>
        <charset val="128"/>
      </rPr>
      <t xml:space="preserve"> </t>
    </r>
    <r>
      <rPr>
        <sz val="15"/>
        <color rgb="FF000000"/>
        <rFont val="メイリオ"/>
        <family val="2"/>
        <charset val="128"/>
      </rPr>
      <t xml:space="preserve">÷ 57.3</t>
    </r>
    <r>
      <rPr>
        <sz val="15"/>
        <color rgb="FFFF3838"/>
        <rFont val="メイリオ"/>
        <family val="2"/>
        <charset val="128"/>
      </rPr>
      <t xml:space="preserve"> ))</t>
    </r>
  </si>
  <si>
    <t xml:space="preserve"> こさいん　だけの　式 </t>
  </si>
  <si>
    <r>
      <rPr>
        <sz val="12"/>
        <color rgb="FFFF6D6D"/>
        <rFont val="メイリオ"/>
        <family val="2"/>
        <charset val="128"/>
      </rPr>
      <t xml:space="preserve">　12 </t>
    </r>
    <r>
      <rPr>
        <sz val="10"/>
        <color rgb="FFFF6D6D"/>
        <rFont val="メイリオ"/>
        <family val="2"/>
        <charset val="128"/>
      </rPr>
      <t xml:space="preserve">ぶん の</t>
    </r>
    <r>
      <rPr>
        <sz val="12"/>
        <color rgb="FFFF6D6D"/>
        <rFont val="メイリオ"/>
        <family val="2"/>
        <charset val="128"/>
      </rPr>
      <t xml:space="preserve"> 1 </t>
    </r>
    <r>
      <rPr>
        <sz val="10"/>
        <color rgb="FFFF6D6D"/>
        <rFont val="メイリオ"/>
        <family val="2"/>
        <charset val="128"/>
      </rPr>
      <t xml:space="preserve">兀</t>
    </r>
    <r>
      <rPr>
        <sz val="12"/>
        <color rgb="FFFF6D6D"/>
        <rFont val="メイリオ"/>
        <family val="2"/>
        <charset val="128"/>
      </rPr>
      <t xml:space="preserve">　＝　15　ど</t>
    </r>
  </si>
  <si>
    <t xml:space="preserve">▼　ぱ　い</t>
  </si>
  <si>
    <r>
      <rPr>
        <sz val="15"/>
        <color rgb="FFFF6D6D"/>
        <rFont val="メイリオ"/>
        <family val="2"/>
        <charset val="128"/>
      </rPr>
      <t xml:space="preserve">ACOS ( COS ( </t>
    </r>
    <r>
      <rPr>
        <sz val="15"/>
        <rFont val="メイリオ"/>
        <family val="2"/>
        <charset val="128"/>
      </rPr>
      <t xml:space="preserve">θ </t>
    </r>
    <r>
      <rPr>
        <sz val="15"/>
        <color rgb="FFFF6D6D"/>
        <rFont val="メイリオ"/>
        <family val="2"/>
        <charset val="128"/>
      </rPr>
      <t xml:space="preserve">)  ×  COS ( </t>
    </r>
    <r>
      <rPr>
        <sz val="15"/>
        <rFont val="メイリオ"/>
        <family val="2"/>
        <charset val="128"/>
      </rPr>
      <t xml:space="preserve">Ψ</t>
    </r>
    <r>
      <rPr>
        <sz val="15"/>
        <color rgb="FFFF6D6D"/>
        <rFont val="メイリオ"/>
        <family val="2"/>
        <charset val="128"/>
      </rPr>
      <t xml:space="preserve"> ) )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</si>
  <si>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0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</si>
  <si>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1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</si>
  <si>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2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</si>
  <si>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3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</si>
  <si>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4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</si>
  <si>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5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</si>
  <si>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6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</si>
  <si>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7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</si>
  <si>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8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</si>
  <si>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9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</si>
  <si>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10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</si>
  <si>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11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</si>
  <si>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12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</si>
  <si>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13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</si>
  <si>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14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</si>
  <si>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15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</si>
  <si>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16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</si>
  <si>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17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</si>
  <si>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18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</si>
  <si>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19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</si>
  <si>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20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</si>
  <si>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21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</si>
  <si>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22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</si>
  <si>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23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</si>
  <si>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ぶんの </t>
    </r>
    <r>
      <rPr>
        <sz val="10"/>
        <rFont val="メイリオ"/>
        <family val="2"/>
        <charset val="128"/>
      </rPr>
      <t xml:space="preserve">24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</si>
  <si>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 </t>
    </r>
    <r>
      <rPr>
        <sz val="10"/>
        <rFont val="メイリオ"/>
        <family val="2"/>
        <charset val="128"/>
      </rPr>
      <t xml:space="preserve">0</t>
    </r>
    <r>
      <rPr>
        <sz val="7"/>
        <rFont val="メイリオ"/>
        <family val="2"/>
        <charset val="128"/>
      </rPr>
      <t xml:space="preserve">  兀</t>
    </r>
  </si>
  <si>
    <r>
      <rPr>
        <sz val="7"/>
        <rFont val="メイリオ"/>
        <family val="2"/>
        <charset val="128"/>
      </rPr>
      <t xml:space="preserve">12   ぶん の    </t>
    </r>
    <r>
      <rPr>
        <sz val="10"/>
        <rFont val="メイリオ"/>
        <family val="2"/>
        <charset val="128"/>
      </rPr>
      <t xml:space="preserve">1</t>
    </r>
    <r>
      <rPr>
        <sz val="7"/>
        <rFont val="メイリオ"/>
        <family val="2"/>
        <charset val="128"/>
      </rPr>
      <t xml:space="preserve">  兀</t>
    </r>
  </si>
  <si>
    <r>
      <rPr>
        <sz val="7"/>
        <rFont val="メイリオ"/>
        <family val="2"/>
        <charset val="128"/>
      </rPr>
      <t xml:space="preserve">12   ぶん の    </t>
    </r>
    <r>
      <rPr>
        <sz val="10"/>
        <rFont val="メイリオ"/>
        <family val="2"/>
        <charset val="128"/>
      </rPr>
      <t xml:space="preserve">2</t>
    </r>
    <r>
      <rPr>
        <sz val="7"/>
        <rFont val="メイリオ"/>
        <family val="2"/>
        <charset val="128"/>
      </rPr>
      <t xml:space="preserve">  兀</t>
    </r>
  </si>
  <si>
    <r>
      <rPr>
        <sz val="7"/>
        <rFont val="メイリオ"/>
        <family val="2"/>
        <charset val="128"/>
      </rPr>
      <t xml:space="preserve">12   ぶん の    </t>
    </r>
    <r>
      <rPr>
        <sz val="10"/>
        <rFont val="メイリオ"/>
        <family val="2"/>
        <charset val="128"/>
      </rPr>
      <t xml:space="preserve">3</t>
    </r>
    <r>
      <rPr>
        <sz val="7"/>
        <rFont val="メイリオ"/>
        <family val="2"/>
        <charset val="128"/>
      </rPr>
      <t xml:space="preserve">  兀</t>
    </r>
  </si>
  <si>
    <r>
      <rPr>
        <sz val="7"/>
        <rFont val="メイリオ"/>
        <family val="2"/>
        <charset val="128"/>
      </rPr>
      <t xml:space="preserve">12   ぶん の    </t>
    </r>
    <r>
      <rPr>
        <sz val="10"/>
        <rFont val="メイリオ"/>
        <family val="2"/>
        <charset val="128"/>
      </rPr>
      <t xml:space="preserve">4</t>
    </r>
    <r>
      <rPr>
        <sz val="7"/>
        <rFont val="メイリオ"/>
        <family val="2"/>
        <charset val="128"/>
      </rPr>
      <t xml:space="preserve">  兀</t>
    </r>
  </si>
  <si>
    <r>
      <rPr>
        <sz val="7"/>
        <rFont val="メイリオ"/>
        <family val="2"/>
        <charset val="128"/>
      </rPr>
      <t xml:space="preserve">12   ぶん の    </t>
    </r>
    <r>
      <rPr>
        <sz val="10"/>
        <rFont val="メイリオ"/>
        <family val="2"/>
        <charset val="128"/>
      </rPr>
      <t xml:space="preserve">5</t>
    </r>
    <r>
      <rPr>
        <sz val="7"/>
        <rFont val="メイリオ"/>
        <family val="2"/>
        <charset val="128"/>
      </rPr>
      <t xml:space="preserve">  兀</t>
    </r>
  </si>
  <si>
    <r>
      <rPr>
        <sz val="7"/>
        <rFont val="メイリオ"/>
        <family val="2"/>
        <charset val="128"/>
      </rPr>
      <t xml:space="preserve">12   ぶん の    </t>
    </r>
    <r>
      <rPr>
        <sz val="10"/>
        <rFont val="メイリオ"/>
        <family val="2"/>
        <charset val="128"/>
      </rPr>
      <t xml:space="preserve">6</t>
    </r>
    <r>
      <rPr>
        <sz val="7"/>
        <rFont val="メイリオ"/>
        <family val="2"/>
        <charset val="128"/>
      </rPr>
      <t xml:space="preserve">  兀</t>
    </r>
  </si>
  <si>
    <r>
      <rPr>
        <sz val="7"/>
        <rFont val="メイリオ"/>
        <family val="2"/>
        <charset val="128"/>
      </rPr>
      <t xml:space="preserve">12   ぶん の    </t>
    </r>
    <r>
      <rPr>
        <sz val="10"/>
        <rFont val="メイリオ"/>
        <family val="2"/>
        <charset val="128"/>
      </rPr>
      <t xml:space="preserve">7</t>
    </r>
    <r>
      <rPr>
        <sz val="7"/>
        <rFont val="メイリオ"/>
        <family val="2"/>
        <charset val="128"/>
      </rPr>
      <t xml:space="preserve">  兀</t>
    </r>
  </si>
  <si>
    <r>
      <rPr>
        <sz val="7"/>
        <rFont val="メイリオ"/>
        <family val="2"/>
        <charset val="128"/>
      </rPr>
      <t xml:space="preserve">12   ぶん の    </t>
    </r>
    <r>
      <rPr>
        <sz val="10"/>
        <rFont val="メイリオ"/>
        <family val="2"/>
        <charset val="128"/>
      </rPr>
      <t xml:space="preserve">8</t>
    </r>
    <r>
      <rPr>
        <sz val="7"/>
        <rFont val="メイリオ"/>
        <family val="2"/>
        <charset val="128"/>
      </rPr>
      <t xml:space="preserve">  兀</t>
    </r>
  </si>
  <si>
    <r>
      <rPr>
        <sz val="7"/>
        <rFont val="メイリオ"/>
        <family val="2"/>
        <charset val="128"/>
      </rPr>
      <t xml:space="preserve">12   ぶん の    </t>
    </r>
    <r>
      <rPr>
        <sz val="10"/>
        <rFont val="メイリオ"/>
        <family val="2"/>
        <charset val="128"/>
      </rPr>
      <t xml:space="preserve">9</t>
    </r>
    <r>
      <rPr>
        <sz val="7"/>
        <rFont val="メイリオ"/>
        <family val="2"/>
        <charset val="128"/>
      </rPr>
      <t xml:space="preserve"> 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</si>
  <si>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10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</si>
  <si>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11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</si>
  <si>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12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</si>
  <si>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13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</si>
  <si>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14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</si>
  <si>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15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</si>
  <si>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16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</si>
  <si>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17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</si>
  <si>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18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</si>
  <si>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19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</si>
  <si>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20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</si>
  <si>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21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</si>
  <si>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22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</si>
  <si>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23</t>
    </r>
    <r>
      <rPr>
        <sz val="7"/>
        <rFont val="メイリオ"/>
        <family val="2"/>
        <charset val="128"/>
      </rPr>
      <t xml:space="preserve"> 兀</t>
    </r>
  </si>
  <si>
    <r>
      <rPr>
        <sz val="7"/>
        <rFont val="メイリオ"/>
        <family val="2"/>
        <charset val="128"/>
      </rPr>
      <t xml:space="preserve">12   ぶん の   </t>
    </r>
    <r>
      <rPr>
        <sz val="10"/>
        <rFont val="メイリオ"/>
        <family val="2"/>
        <charset val="128"/>
      </rPr>
      <t xml:space="preserve">24</t>
    </r>
    <r>
      <rPr>
        <sz val="7"/>
        <rFont val="メイリオ"/>
        <family val="2"/>
        <charset val="128"/>
      </rPr>
      <t xml:space="preserve"> 兀</t>
    </r>
  </si>
  <si>
    <t xml:space="preserve">★★ </t>
  </si>
  <si>
    <t xml:space="preserve">  えん の 型</t>
  </si>
  <si>
    <t xml:space="preserve">(　型 式　)</t>
  </si>
  <si>
    <t xml:space="preserve"> こさいん だけ の 式 </t>
  </si>
  <si>
    <t xml:space="preserve">ACOS ( COS ( θ )  ×  COS ( Ψ ))</t>
  </si>
  <si>
    <t xml:space="preserve">  めん の 型</t>
  </si>
  <si>
    <t xml:space="preserve">ACOS ( COS ( θ )  ×  SIN ( Ψ  +  90 ° ))</t>
  </si>
  <si>
    <t xml:space="preserve">  げん の 型</t>
  </si>
  <si>
    <t xml:space="preserve">              __________________________________________</t>
  </si>
  <si>
    <r>
      <rPr>
        <sz val="15"/>
        <color rgb="FFC9211E"/>
        <rFont val="メイリオ"/>
        <family val="2"/>
        <charset val="128"/>
      </rPr>
      <t xml:space="preserve">　　ACOT (( ±１)  ÷　</t>
    </r>
    <r>
      <rPr>
        <sz val="20"/>
        <color rgb="FFC9211E"/>
        <rFont val="メイリオ"/>
        <family val="2"/>
        <charset val="128"/>
      </rPr>
      <t xml:space="preserve">√</t>
    </r>
    <r>
      <rPr>
        <sz val="15"/>
        <color rgb="FFC9211E"/>
        <rFont val="メイリオ"/>
        <family val="2"/>
        <charset val="128"/>
      </rPr>
      <t xml:space="preserve">   TAN θ </t>
    </r>
    <r>
      <rPr>
        <vertAlign val="superscript"/>
        <sz val="15"/>
        <color rgb="FFC9211E"/>
        <rFont val="メイリオ"/>
        <family val="2"/>
        <charset val="128"/>
      </rPr>
      <t xml:space="preserve">2</t>
    </r>
    <r>
      <rPr>
        <sz val="15"/>
        <color rgb="FFC9211E"/>
        <rFont val="メイリオ"/>
        <family val="2"/>
        <charset val="128"/>
      </rPr>
      <t xml:space="preserve">  +  ( SEC θ × TAN Ψ ) </t>
    </r>
    <r>
      <rPr>
        <vertAlign val="superscript"/>
        <sz val="15"/>
        <color rgb="FFC9211E"/>
        <rFont val="メイリオ"/>
        <family val="2"/>
        <charset val="128"/>
      </rPr>
      <t xml:space="preserve">2</t>
    </r>
    <r>
      <rPr>
        <sz val="15"/>
        <color rgb="FFC9211E"/>
        <rFont val="メイリオ"/>
        <family val="2"/>
        <charset val="128"/>
      </rPr>
      <t xml:space="preserve">  )</t>
    </r>
  </si>
  <si>
    <t xml:space="preserve">( ±１)  ＝　SIGN ( COS θ  ×  COS Ψ  )</t>
  </si>
  <si>
    <t xml:space="preserve">はんべつなし　4quad　は　りん の 型</t>
  </si>
  <si>
    <t xml:space="preserve">  りん の 型</t>
  </si>
  <si>
    <t xml:space="preserve">　いろ の こい　ところ</t>
  </si>
  <si>
    <t xml:space="preserve">　せつめい　(ctrl + クリック)  </t>
  </si>
  <si>
    <t xml:space="preserve">     __________________________________________</t>
  </si>
  <si>
    <t xml:space="preserve">                     __________________________________________</t>
  </si>
  <si>
    <r>
      <rPr>
        <b val="true"/>
        <sz val="15"/>
        <color rgb="FF8D281E"/>
        <rFont val="メイリオ"/>
        <family val="2"/>
        <charset val="128"/>
      </rPr>
      <t xml:space="preserve">180 ど　ー</t>
    </r>
    <r>
      <rPr>
        <sz val="15"/>
        <color rgb="FFFF0000"/>
        <rFont val="メイリオ"/>
        <family val="2"/>
        <charset val="128"/>
      </rPr>
      <t xml:space="preserve">　4quad 式</t>
    </r>
  </si>
  <si>
    <r>
      <rPr>
        <sz val="15"/>
        <color rgb="FFFF0000"/>
        <rFont val="メイリオ"/>
        <family val="2"/>
        <charset val="128"/>
      </rPr>
      <t xml:space="preserve">   |  90°  ±  90°  － </t>
    </r>
    <r>
      <rPr>
        <sz val="15"/>
        <color rgb="FF0070FF"/>
        <rFont val="メイリオ"/>
        <family val="2"/>
        <charset val="128"/>
      </rPr>
      <t xml:space="preserve"> </t>
    </r>
    <r>
      <rPr>
        <sz val="15"/>
        <color rgb="FF000000"/>
        <rFont val="メイリオ"/>
        <family val="2"/>
        <charset val="128"/>
      </rPr>
      <t xml:space="preserve">ATAN  </t>
    </r>
    <r>
      <rPr>
        <sz val="20"/>
        <color rgb="FF000000"/>
        <rFont val="メイリオ"/>
        <family val="2"/>
        <charset val="128"/>
      </rPr>
      <t xml:space="preserve">√</t>
    </r>
    <r>
      <rPr>
        <sz val="15"/>
        <color rgb="FF000000"/>
        <rFont val="メイリオ"/>
        <family val="2"/>
        <charset val="128"/>
      </rPr>
      <t xml:space="preserve">  TAN θ </t>
    </r>
    <r>
      <rPr>
        <vertAlign val="superscript"/>
        <sz val="15"/>
        <color rgb="FF000000"/>
        <rFont val="メイリオ"/>
        <family val="2"/>
        <charset val="128"/>
      </rPr>
      <t xml:space="preserve">2</t>
    </r>
    <r>
      <rPr>
        <sz val="15"/>
        <color rgb="FF000000"/>
        <rFont val="メイリオ"/>
        <family val="2"/>
        <charset val="128"/>
      </rPr>
      <t xml:space="preserve">  +  ( SEC θ  ×  TAN Ψ ) </t>
    </r>
    <r>
      <rPr>
        <vertAlign val="superscript"/>
        <sz val="15"/>
        <color rgb="FF000000"/>
        <rFont val="メイリオ"/>
        <family val="2"/>
        <charset val="128"/>
      </rPr>
      <t xml:space="preserve">2</t>
    </r>
    <r>
      <rPr>
        <sz val="15"/>
        <color rgb="FF0070FF"/>
        <rFont val="メイリオ"/>
        <family val="2"/>
        <charset val="128"/>
      </rPr>
      <t xml:space="preserve">  </t>
    </r>
    <r>
      <rPr>
        <sz val="15"/>
        <color rgb="FFFF0000"/>
        <rFont val="メイリオ"/>
        <family val="2"/>
        <charset val="128"/>
      </rPr>
      <t xml:space="preserve"> |</t>
    </r>
  </si>
  <si>
    <r>
      <rPr>
        <sz val="15"/>
        <color rgb="FFC9211E"/>
        <rFont val="メイリオ"/>
        <family val="2"/>
        <charset val="128"/>
      </rPr>
      <t xml:space="preserve">ATAN  </t>
    </r>
    <r>
      <rPr>
        <sz val="20"/>
        <color rgb="FFC9211E"/>
        <rFont val="メイリオ"/>
        <family val="2"/>
        <charset val="128"/>
      </rPr>
      <t xml:space="preserve">√</t>
    </r>
    <r>
      <rPr>
        <sz val="15"/>
        <color rgb="FFC9211E"/>
        <rFont val="メイリオ"/>
        <family val="2"/>
        <charset val="128"/>
      </rPr>
      <t xml:space="preserve">  TAN θ </t>
    </r>
    <r>
      <rPr>
        <vertAlign val="superscript"/>
        <sz val="15"/>
        <color rgb="FFC9211E"/>
        <rFont val="メイリオ"/>
        <family val="2"/>
        <charset val="128"/>
      </rPr>
      <t xml:space="preserve">2</t>
    </r>
    <r>
      <rPr>
        <sz val="15"/>
        <color rgb="FFC9211E"/>
        <rFont val="メイリオ"/>
        <family val="2"/>
        <charset val="128"/>
      </rPr>
      <t xml:space="preserve">  +  ( SEC θ  ×  TAN Ψ ) </t>
    </r>
    <r>
      <rPr>
        <vertAlign val="superscript"/>
        <sz val="15"/>
        <color rgb="FFC9211E"/>
        <rFont val="メイリオ"/>
        <family val="2"/>
        <charset val="128"/>
      </rPr>
      <t xml:space="preserve">2</t>
    </r>
    <r>
      <rPr>
        <sz val="15"/>
        <color rgb="FFC9211E"/>
        <rFont val="メイリオ"/>
        <family val="2"/>
        <charset val="128"/>
      </rPr>
      <t xml:space="preserve"> </t>
    </r>
  </si>
  <si>
    <t xml:space="preserve">± 90 °  ＝　－ SIGN (  COS θ ＊ COS Ψ ) ＊　90°</t>
  </si>
  <si>
    <t xml:space="preserve">  うん の 型</t>
  </si>
  <si>
    <t xml:space="preserve">          ________________________________________</t>
  </si>
  <si>
    <t xml:space="preserve">          __________________</t>
  </si>
  <si>
    <r>
      <rPr>
        <sz val="15"/>
        <color rgb="FFFF0000"/>
        <rFont val="メイリオ"/>
        <family val="2"/>
        <charset val="128"/>
      </rPr>
      <t xml:space="preserve">ACOS ( COS  θ 　÷　</t>
    </r>
    <r>
      <rPr>
        <sz val="20"/>
        <color rgb="FFFF0000"/>
        <rFont val="メイリオ"/>
        <family val="2"/>
        <charset val="128"/>
      </rPr>
      <t xml:space="preserve">√ </t>
    </r>
    <r>
      <rPr>
        <sz val="15"/>
        <color rgb="FFFF0000"/>
        <rFont val="メイリオ"/>
        <family val="2"/>
        <charset val="128"/>
      </rPr>
      <t xml:space="preserve"> 1  ＋  TAN Ψ </t>
    </r>
    <r>
      <rPr>
        <vertAlign val="superscript"/>
        <sz val="15"/>
        <color rgb="FFFF0000"/>
        <rFont val="メイリオ"/>
        <family val="2"/>
        <charset val="128"/>
      </rPr>
      <t xml:space="preserve">2</t>
    </r>
    <r>
      <rPr>
        <sz val="15"/>
        <color rgb="FFFF0000"/>
        <rFont val="メイリオ"/>
        <family val="2"/>
        <charset val="128"/>
      </rPr>
      <t xml:space="preserve">  </t>
    </r>
    <r>
      <rPr>
        <sz val="15"/>
        <color rgb="FF3FAF46"/>
        <rFont val="メイリオ"/>
        <family val="2"/>
        <charset val="128"/>
      </rPr>
      <t xml:space="preserve"> </t>
    </r>
    <r>
      <rPr>
        <b val="true"/>
        <sz val="13"/>
        <rFont val="メイリオ"/>
        <family val="2"/>
        <charset val="128"/>
      </rPr>
      <t xml:space="preserve">×  sign ( COS  Ψ )  </t>
    </r>
    <r>
      <rPr>
        <sz val="15"/>
        <color rgb="FFFF0000"/>
        <rFont val="メイリオ"/>
        <family val="2"/>
        <charset val="128"/>
      </rPr>
      <t xml:space="preserve">)</t>
    </r>
  </si>
  <si>
    <r>
      <rPr>
        <sz val="15"/>
        <color rgb="FFC9211E"/>
        <rFont val="メイリオ"/>
        <family val="2"/>
        <charset val="128"/>
      </rPr>
      <t xml:space="preserve">ACOS ( COS  θ 　÷　</t>
    </r>
    <r>
      <rPr>
        <sz val="20"/>
        <color rgb="FFC9211E"/>
        <rFont val="メイリオ"/>
        <family val="2"/>
        <charset val="128"/>
      </rPr>
      <t xml:space="preserve">√</t>
    </r>
    <r>
      <rPr>
        <sz val="15"/>
        <color rgb="FFC9211E"/>
        <rFont val="メイリオ"/>
        <family val="2"/>
        <charset val="128"/>
      </rPr>
      <t xml:space="preserve">  1 ＋ TAN Ψ </t>
    </r>
    <r>
      <rPr>
        <vertAlign val="superscript"/>
        <sz val="15"/>
        <color rgb="FFC9211E"/>
        <rFont val="メイリオ"/>
        <family val="2"/>
        <charset val="128"/>
      </rPr>
      <t xml:space="preserve">2</t>
    </r>
    <r>
      <rPr>
        <sz val="15"/>
        <color rgb="FFC9211E"/>
        <rFont val="メイリオ"/>
        <family val="2"/>
        <charset val="128"/>
      </rPr>
      <t xml:space="preserve">   )</t>
    </r>
  </si>
  <si>
    <t xml:space="preserve">  もん の 型</t>
  </si>
  <si>
    <r>
      <rPr>
        <sz val="15"/>
        <color rgb="FFFF0000"/>
        <rFont val="メイリオ"/>
        <family val="2"/>
        <charset val="128"/>
      </rPr>
      <t xml:space="preserve">　　ACOT ( COT θ × SIN ( ATAN ( SIN θ ÷ TAN Ψ )) </t>
    </r>
    <r>
      <rPr>
        <sz val="15"/>
        <color rgb="FF224B12"/>
        <rFont val="メイリオ"/>
        <family val="2"/>
        <charset val="128"/>
      </rPr>
      <t xml:space="preserve"> </t>
    </r>
    <r>
      <rPr>
        <b val="true"/>
        <sz val="13"/>
        <color rgb="FF000000"/>
        <rFont val="メイリオ"/>
        <family val="2"/>
        <charset val="128"/>
      </rPr>
      <t xml:space="preserve">×  sign ( SIN Ψ )</t>
    </r>
    <r>
      <rPr>
        <sz val="15"/>
        <color rgb="FFFF0000"/>
        <rFont val="メイリオ"/>
        <family val="2"/>
        <charset val="128"/>
      </rPr>
      <t xml:space="preserve">)</t>
    </r>
  </si>
  <si>
    <t xml:space="preserve">ACOT ( COT θ × SIN ( ATAN ( SIN θ ÷ TAN Ψ )))</t>
  </si>
  <si>
    <t xml:space="preserve">  てん の 型</t>
  </si>
  <si>
    <t xml:space="preserve">　二円角</t>
  </si>
  <si>
    <r>
      <rPr>
        <sz val="15"/>
        <color rgb="FFFF0000"/>
        <rFont val="メイリオ"/>
        <family val="2"/>
        <charset val="128"/>
      </rPr>
      <t xml:space="preserve">　　ACOT ( COT θ × COS ( ACOT ( SIN θ ÷ TAN Ψ ))</t>
    </r>
    <r>
      <rPr>
        <sz val="15"/>
        <color rgb="FF3FAF46"/>
        <rFont val="メイリオ"/>
        <family val="2"/>
        <charset val="128"/>
      </rPr>
      <t xml:space="preserve"> </t>
    </r>
    <r>
      <rPr>
        <sz val="15"/>
        <color rgb="FF224B12"/>
        <rFont val="メイリオ"/>
        <family val="2"/>
        <charset val="128"/>
      </rPr>
      <t xml:space="preserve"> </t>
    </r>
    <r>
      <rPr>
        <b val="true"/>
        <sz val="13"/>
        <color rgb="FF000000"/>
        <rFont val="メイリオ"/>
        <family val="2"/>
        <charset val="128"/>
      </rPr>
      <t xml:space="preserve">×  sign ( SIN Ψ )</t>
    </r>
    <r>
      <rPr>
        <sz val="15"/>
        <color rgb="FFFF0000"/>
        <rFont val="メイリオ"/>
        <family val="2"/>
        <charset val="128"/>
      </rPr>
      <t xml:space="preserve">)</t>
    </r>
  </si>
  <si>
    <t xml:space="preserve">ACOT ( COT θ × COS (  ACOT ( SIN θ ÷ TAN Ψ )))</t>
  </si>
  <si>
    <t xml:space="preserve">  みん の 型</t>
  </si>
  <si>
    <t xml:space="preserve">ACOS ( COS ( θ )  ×  ( 1  ÷  SEC ( Ψ )))</t>
  </si>
  <si>
    <t xml:space="preserve"> ACOT excel 対応　excel-ver.    365  web  2021  2019  2016  2013</t>
  </si>
  <si>
    <t xml:space="preserve">   SEC  excel 対応　excel-ver.    365             2019  2016  2013</t>
  </si>
  <si>
    <t xml:space="preserve"> エクセル の バージョン　に　よっては  　ACOT   SEC   CSC   は  あつかっていない ばあい が あります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</si>
</sst>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0.000000&quot;  rad&quot;"/>
    <numFmt numFmtId="166" formatCode="#,##0.00000000000"/>
    <numFmt numFmtId="167" formatCode="#,##0.000000000000"/>
    <numFmt numFmtId="168" formatCode="&quot;山   &quot;#.##&quot; °&quot;"/>
    <numFmt numFmtId="169" formatCode="#,##0.0"/>
    <numFmt numFmtId="170" formatCode="&quot;ヨ   &quot;#.##&quot; °&quot;"/>
    <numFmt numFmtId="171" formatCode="0.##"/>
    <numFmt numFmtId="172" formatCode="&quot;(  &quot;0.000#&quot;  rad )&quot;"/>
    <numFmt numFmtId="173" formatCode="#,##0.000000"/>
    <numFmt numFmtId="174" formatCode="General"/>
    <numFmt numFmtId="175" formatCode="0.######"/>
    <numFmt numFmtId="176" formatCode="#,##0.00"/>
    <numFmt numFmtId="177" formatCode="0.############"/>
    <numFmt numFmtId="178" formatCode="0.00"/>
    <numFmt numFmtId="179" formatCode="0&quot; cm&quot;"/>
    <numFmt numFmtId="180" formatCode="0.0&quot; cm&quot;"/>
    <numFmt numFmtId="181" formatCode="0.000"/>
    <numFmt numFmtId="182" formatCode="0.#&quot;  時方向&quot;"/>
    <numFmt numFmtId="183" formatCode="0.00&quot;　ど&quot;"/>
    <numFmt numFmtId="184" formatCode="0&quot; °&quot;"/>
    <numFmt numFmtId="185" formatCode="0.##&quot; °&quot;"/>
    <numFmt numFmtId="186" formatCode="0.###&quot; °&quot;"/>
    <numFmt numFmtId="187" formatCode="0.0000&quot;  rad&quot;"/>
    <numFmt numFmtId="188" formatCode="0.000&quot;  rad&quot;"/>
    <numFmt numFmtId="189" formatCode="#,##0.000"/>
  </numFmts>
  <fonts count="112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FFFFFF"/>
      <name val="メイリオ"/>
      <family val="2"/>
      <charset val="128"/>
    </font>
    <font>
      <sz val="10"/>
      <color rgb="FFFFFFFF"/>
      <name val="Arial"/>
      <family val="2"/>
      <charset val="128"/>
    </font>
    <font>
      <sz val="8"/>
      <color rgb="FFDDDDDD"/>
      <name val="メイリオ"/>
      <family val="2"/>
      <charset val="128"/>
    </font>
    <font>
      <sz val="10"/>
      <color rgb="FFFFD428"/>
      <name val="メイリオ"/>
      <family val="2"/>
      <charset val="128"/>
    </font>
    <font>
      <sz val="10"/>
      <color rgb="FFDDDDDD"/>
      <name val="Arial"/>
      <family val="2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sz val="10"/>
      <color rgb="FFFF0000"/>
      <name val="メイリオ"/>
      <family val="2"/>
      <charset val="128"/>
    </font>
    <font>
      <b val="true"/>
      <sz val="16"/>
      <color rgb="FFFF0000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i val="true"/>
      <sz val="14"/>
      <name val="メイリオ"/>
      <family val="2"/>
      <charset val="128"/>
    </font>
    <font>
      <sz val="13"/>
      <name val="メイリオ"/>
      <family val="2"/>
      <charset val="128"/>
    </font>
    <font>
      <b val="true"/>
      <sz val="22"/>
      <color rgb="FFFF0000"/>
      <name val="メイリオ"/>
      <family val="2"/>
      <charset val="128"/>
    </font>
    <font>
      <b val="true"/>
      <sz val="22"/>
      <name val="メイリオ"/>
      <family val="2"/>
      <charset val="128"/>
    </font>
    <font>
      <b val="true"/>
      <sz val="24"/>
      <color rgb="FFFF0000"/>
      <name val="メイリオ"/>
      <family val="2"/>
      <charset val="128"/>
    </font>
    <font>
      <sz val="14"/>
      <name val="Arial"/>
      <family val="2"/>
      <charset val="128"/>
    </font>
    <font>
      <sz val="14"/>
      <name val="メイリオ"/>
      <family val="2"/>
      <charset val="128"/>
    </font>
    <font>
      <b val="true"/>
      <sz val="14"/>
      <name val="メイリオ"/>
      <family val="2"/>
      <charset val="128"/>
    </font>
    <font>
      <sz val="13"/>
      <name val="Arial"/>
      <family val="2"/>
      <charset val="128"/>
    </font>
    <font>
      <sz val="10"/>
      <color rgb="FFDDDDDD"/>
      <name val="メイリオ"/>
      <family val="2"/>
      <charset val="128"/>
    </font>
    <font>
      <sz val="10"/>
      <color rgb="FFFF0000"/>
      <name val="MS UI Gothic"/>
      <family val="3"/>
      <charset val="128"/>
    </font>
    <font>
      <b val="true"/>
      <sz val="16"/>
      <name val="Arial"/>
      <family val="2"/>
      <charset val="128"/>
    </font>
    <font>
      <sz val="8"/>
      <color rgb="FF999999"/>
      <name val="メイリオ"/>
      <family val="2"/>
      <charset val="128"/>
    </font>
    <font>
      <sz val="10"/>
      <color rgb="FFCCCCCC"/>
      <name val="メイリオ"/>
      <family val="2"/>
      <charset val="128"/>
    </font>
    <font>
      <b val="true"/>
      <sz val="16"/>
      <name val="メイリオ"/>
      <family val="2"/>
      <charset val="128"/>
    </font>
    <font>
      <sz val="12"/>
      <color rgb="FFFF0000"/>
      <name val="メイリオ"/>
      <family val="2"/>
      <charset val="128"/>
    </font>
    <font>
      <b val="true"/>
      <sz val="12"/>
      <color rgb="FFFF0000"/>
      <name val="メイリオ"/>
      <family val="2"/>
      <charset val="128"/>
    </font>
    <font>
      <sz val="10"/>
      <color rgb="FFC9211E"/>
      <name val="メイリオ"/>
      <family val="2"/>
      <charset val="128"/>
    </font>
    <font>
      <sz val="10"/>
      <name val="Arial"/>
      <family val="2"/>
      <charset val="128"/>
    </font>
    <font>
      <sz val="10"/>
      <color rgb="FFFFBF00"/>
      <name val="Arial"/>
      <family val="2"/>
      <charset val="128"/>
    </font>
    <font>
      <sz val="10"/>
      <color rgb="FFFFBF00"/>
      <name val="メイリオ"/>
      <family val="2"/>
      <charset val="128"/>
    </font>
    <font>
      <sz val="10"/>
      <color rgb="FFB2B2B2"/>
      <name val="Arial"/>
      <family val="2"/>
      <charset val="128"/>
    </font>
    <font>
      <sz val="10"/>
      <color rgb="FFC9211E"/>
      <name val="Arial"/>
      <family val="2"/>
      <charset val="128"/>
    </font>
    <font>
      <sz val="10"/>
      <color rgb="FF999999"/>
      <name val="メイリオ"/>
      <family val="2"/>
      <charset val="128"/>
    </font>
    <font>
      <sz val="10"/>
      <color rgb="FFFF4000"/>
      <name val="メイリオ"/>
      <family val="2"/>
      <charset val="128"/>
    </font>
    <font>
      <b val="true"/>
      <sz val="10"/>
      <color rgb="FFFFFFFF"/>
      <name val="メイリオ"/>
      <family val="2"/>
      <charset val="128"/>
    </font>
    <font>
      <sz val="10"/>
      <color rgb="FFE8A202"/>
      <name val="Arial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0"/>
      <color rgb="FF0000FF"/>
      <name val="メイリオ"/>
      <family val="2"/>
      <charset val="128"/>
    </font>
    <font>
      <b val="true"/>
      <sz val="18"/>
      <color rgb="FFFFFFFF"/>
      <name val="MS UI Gothic"/>
      <family val="0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sz val="9"/>
      <color rgb="FFFF0000"/>
      <name val="メイリオ"/>
      <family val="2"/>
      <charset val="128"/>
    </font>
    <font>
      <sz val="10"/>
      <color rgb="FFFFCCCC"/>
      <name val="メイリオ"/>
      <family val="2"/>
      <charset val="128"/>
    </font>
    <font>
      <sz val="10"/>
      <color rgb="FFFFCCCC"/>
      <name val="Arial"/>
      <family val="2"/>
      <charset val="128"/>
    </font>
    <font>
      <sz val="10"/>
      <color rgb="FFFFAA95"/>
      <name val="メイリオ"/>
      <family val="2"/>
      <charset val="128"/>
    </font>
    <font>
      <sz val="10"/>
      <color rgb="FF000000"/>
      <name val="メイリオ"/>
      <family val="2"/>
      <charset val="128"/>
    </font>
    <font>
      <sz val="15"/>
      <name val="Arial"/>
      <family val="2"/>
      <charset val="128"/>
    </font>
    <font>
      <sz val="8"/>
      <color rgb="FFCC9BD6"/>
      <name val="メイリオ"/>
      <family val="2"/>
      <charset val="128"/>
    </font>
    <font>
      <sz val="8"/>
      <color rgb="FFFF6D6D"/>
      <name val="メイリオ"/>
      <family val="2"/>
      <charset val="128"/>
    </font>
    <font>
      <sz val="10"/>
      <color rgb="FFFFA6A6"/>
      <name val="メイリオ"/>
      <family val="2"/>
      <charset val="128"/>
    </font>
    <font>
      <sz val="10"/>
      <color rgb="FF8FDF00"/>
      <name val="メイリオ"/>
      <family val="2"/>
      <charset val="128"/>
    </font>
    <font>
      <vertAlign val="superscript"/>
      <sz val="10"/>
      <color rgb="FFB2B2B2"/>
      <name val="メイリオ"/>
      <family val="2"/>
      <charset val="128"/>
    </font>
    <font>
      <b val="true"/>
      <sz val="16"/>
      <color rgb="FFCCCCCC"/>
      <name val="Arial"/>
      <family val="2"/>
      <charset val="128"/>
    </font>
    <font>
      <b val="true"/>
      <sz val="16"/>
      <color rgb="FFFFA6A6"/>
      <name val="メイリオ"/>
      <family val="2"/>
      <charset val="128"/>
    </font>
    <font>
      <sz val="9"/>
      <name val="メイリオ"/>
      <family val="2"/>
      <charset val="128"/>
    </font>
    <font>
      <b val="true"/>
      <sz val="10"/>
      <color rgb="FFB2B2B2"/>
      <name val="メイリオ"/>
      <family val="2"/>
      <charset val="128"/>
    </font>
    <font>
      <sz val="10"/>
      <color rgb="FFC800FF"/>
      <name val="メイリオ"/>
      <family val="2"/>
      <charset val="128"/>
    </font>
    <font>
      <sz val="10"/>
      <color rgb="FFFF6D6D"/>
      <name val="メイリオ"/>
      <family val="2"/>
      <charset val="128"/>
    </font>
    <font>
      <sz val="10"/>
      <color rgb="FFFFB66C"/>
      <name val="メイリオ"/>
      <family val="2"/>
      <charset val="128"/>
    </font>
    <font>
      <sz val="10"/>
      <color rgb="FFFFA6A6"/>
      <name val="MS UI Gothic"/>
      <family val="3"/>
      <charset val="128"/>
    </font>
    <font>
      <sz val="12"/>
      <color rgb="FFCCCCCC"/>
      <name val="メイリオ"/>
      <family val="2"/>
      <charset val="128"/>
    </font>
    <font>
      <sz val="10"/>
      <color rgb="FF0009B0"/>
      <name val="メイリオ"/>
      <family val="2"/>
      <charset val="128"/>
    </font>
    <font>
      <sz val="9"/>
      <color rgb="FF808080"/>
      <name val="メイリオ"/>
      <family val="2"/>
      <charset val="128"/>
    </font>
    <font>
      <b val="true"/>
      <sz val="13"/>
      <color rgb="FFFF0000"/>
      <name val="メイリオ"/>
      <family val="2"/>
      <charset val="128"/>
    </font>
    <font>
      <sz val="15"/>
      <name val="メイリオ"/>
      <family val="2"/>
      <charset val="128"/>
    </font>
    <font>
      <b val="true"/>
      <sz val="12"/>
      <color rgb="FFFFFFFF"/>
      <name val="メイリオ"/>
      <family val="2"/>
      <charset val="128"/>
    </font>
    <font>
      <sz val="16"/>
      <name val="メイリオ"/>
      <family val="2"/>
      <charset val="128"/>
    </font>
    <font>
      <sz val="15"/>
      <color rgb="FFC9211E"/>
      <name val="メイリオ"/>
      <family val="2"/>
      <charset val="128"/>
    </font>
    <font>
      <sz val="15"/>
      <color rgb="FFFF5429"/>
      <name val="メイリオ"/>
      <family val="2"/>
      <charset val="128"/>
    </font>
    <font>
      <sz val="10"/>
      <color rgb="FFFF7B59"/>
      <name val="メイリオ"/>
      <family val="2"/>
      <charset val="128"/>
    </font>
    <font>
      <sz val="8"/>
      <color rgb="FFFFAA95"/>
      <name val="メイリオ"/>
      <family val="2"/>
      <charset val="128"/>
    </font>
    <font>
      <b val="true"/>
      <sz val="12"/>
      <name val="メイリオ"/>
      <family val="2"/>
      <charset val="128"/>
    </font>
    <font>
      <sz val="10"/>
      <color rgb="FFF7D1D5"/>
      <name val="メイリオ"/>
      <family val="2"/>
      <charset val="128"/>
    </font>
    <font>
      <sz val="15"/>
      <color rgb="FFFF6D6D"/>
      <name val="メイリオ"/>
      <family val="2"/>
      <charset val="128"/>
    </font>
    <font>
      <sz val="15"/>
      <color rgb="FF3FAF46"/>
      <name val="メイリオ"/>
      <family val="2"/>
      <charset val="128"/>
    </font>
    <font>
      <sz val="10"/>
      <color rgb="FFEEEEEE"/>
      <name val="メイリオ"/>
      <family val="2"/>
      <charset val="128"/>
    </font>
    <font>
      <sz val="9"/>
      <color rgb="FFFF6D6D"/>
      <name val="メイリオ"/>
      <family val="2"/>
      <charset val="128"/>
    </font>
    <font>
      <sz val="15"/>
      <color rgb="FFFF3838"/>
      <name val="メイリオ"/>
      <family val="2"/>
      <charset val="128"/>
    </font>
    <font>
      <sz val="13"/>
      <color rgb="FFFF3838"/>
      <name val="メイリオ"/>
      <family val="2"/>
      <charset val="128"/>
    </font>
    <font>
      <sz val="15"/>
      <color rgb="FF000000"/>
      <name val="メイリオ"/>
      <family val="2"/>
      <charset val="128"/>
    </font>
    <font>
      <sz val="12"/>
      <color rgb="FFFF6D6D"/>
      <name val="メイリオ"/>
      <family val="2"/>
      <charset val="128"/>
    </font>
    <font>
      <sz val="13"/>
      <color rgb="FFFF6D6D"/>
      <name val="メイリオ"/>
      <family val="2"/>
      <charset val="128"/>
    </font>
    <font>
      <sz val="7"/>
      <name val="メイリオ"/>
      <family val="2"/>
      <charset val="128"/>
    </font>
    <font>
      <sz val="20"/>
      <color rgb="FFC9211E"/>
      <name val="メイリオ"/>
      <family val="2"/>
      <charset val="128"/>
    </font>
    <font>
      <vertAlign val="superscript"/>
      <sz val="15"/>
      <color rgb="FFC9211E"/>
      <name val="メイリオ"/>
      <family val="2"/>
      <charset val="128"/>
    </font>
    <font>
      <b val="true"/>
      <sz val="12"/>
      <color rgb="FF550098"/>
      <name val="メイリオ"/>
      <family val="2"/>
      <charset val="128"/>
    </font>
    <font>
      <sz val="15"/>
      <color rgb="FFA636FF"/>
      <name val="メイリオ"/>
      <family val="2"/>
      <charset val="128"/>
    </font>
    <font>
      <b val="true"/>
      <sz val="15"/>
      <color rgb="FF8D281E"/>
      <name val="メイリオ"/>
      <family val="2"/>
      <charset val="128"/>
    </font>
    <font>
      <sz val="15"/>
      <color rgb="FFFF0000"/>
      <name val="メイリオ"/>
      <family val="2"/>
      <charset val="128"/>
    </font>
    <font>
      <sz val="15"/>
      <color rgb="FF0070FF"/>
      <name val="メイリオ"/>
      <family val="2"/>
      <charset val="128"/>
    </font>
    <font>
      <sz val="20"/>
      <color rgb="FF000000"/>
      <name val="メイリオ"/>
      <family val="2"/>
      <charset val="128"/>
    </font>
    <font>
      <vertAlign val="superscript"/>
      <sz val="15"/>
      <color rgb="FF000000"/>
      <name val="メイリオ"/>
      <family val="2"/>
      <charset val="128"/>
    </font>
    <font>
      <sz val="12"/>
      <color rgb="FF00CAFF"/>
      <name val="メイリオ"/>
      <family val="2"/>
      <charset val="128"/>
    </font>
    <font>
      <sz val="10"/>
      <color rgb="FFFF972F"/>
      <name val="メイリオ"/>
      <family val="2"/>
      <charset val="128"/>
    </font>
    <font>
      <b val="true"/>
      <sz val="12"/>
      <color rgb="FFC9211E"/>
      <name val="メイリオ"/>
      <family val="2"/>
      <charset val="128"/>
    </font>
    <font>
      <sz val="20"/>
      <color rgb="FFFF0000"/>
      <name val="メイリオ"/>
      <family val="2"/>
      <charset val="128"/>
    </font>
    <font>
      <vertAlign val="superscript"/>
      <sz val="15"/>
      <color rgb="FFFF0000"/>
      <name val="メイリオ"/>
      <family val="2"/>
      <charset val="128"/>
    </font>
    <font>
      <b val="true"/>
      <sz val="13"/>
      <name val="メイリオ"/>
      <family val="2"/>
      <charset val="128"/>
    </font>
    <font>
      <sz val="12"/>
      <color rgb="FF3FAF46"/>
      <name val="メイリオ"/>
      <family val="2"/>
      <charset val="128"/>
    </font>
    <font>
      <sz val="10"/>
      <color rgb="FF3FAF46"/>
      <name val="メイリオ"/>
      <family val="2"/>
      <charset val="128"/>
    </font>
    <font>
      <sz val="15"/>
      <color rgb="FF224B12"/>
      <name val="メイリオ"/>
      <family val="2"/>
      <charset val="128"/>
    </font>
    <font>
      <b val="true"/>
      <sz val="13"/>
      <color rgb="FF000000"/>
      <name val="メイリオ"/>
      <family val="2"/>
      <charset val="128"/>
    </font>
  </fonts>
  <fills count="46">
    <fill>
      <patternFill patternType="none"/>
    </fill>
    <fill>
      <patternFill patternType="gray125"/>
    </fill>
    <fill>
      <patternFill patternType="solid">
        <fgColor rgb="FFFFFFFF"/>
        <bgColor rgb="FFF8F8F8"/>
      </patternFill>
    </fill>
    <fill>
      <patternFill patternType="solid">
        <fgColor rgb="FFFF0000"/>
        <bgColor rgb="FFFF2711"/>
      </patternFill>
    </fill>
    <fill>
      <patternFill patternType="solid">
        <fgColor rgb="FFFFFFA6"/>
        <bgColor rgb="FFE8FF9D"/>
      </patternFill>
    </fill>
    <fill>
      <patternFill patternType="solid">
        <fgColor rgb="FFFFC7B2"/>
        <bgColor rgb="FFFFC5C3"/>
      </patternFill>
    </fill>
    <fill>
      <patternFill patternType="solid">
        <fgColor rgb="FFEEEEEE"/>
        <bgColor rgb="FFEDF1F1"/>
      </patternFill>
    </fill>
    <fill>
      <patternFill patternType="solid">
        <fgColor rgb="FFFFD8CE"/>
        <bgColor rgb="FFFECFD1"/>
      </patternFill>
    </fill>
    <fill>
      <patternFill patternType="solid">
        <fgColor rgb="FFE8FF9D"/>
        <bgColor rgb="FFFFFFA6"/>
      </patternFill>
    </fill>
    <fill>
      <patternFill patternType="solid">
        <fgColor rgb="FFFFDEFC"/>
        <bgColor rgb="FFFFD8CE"/>
      </patternFill>
    </fill>
    <fill>
      <patternFill patternType="solid">
        <fgColor rgb="FFF8F8F8"/>
        <bgColor rgb="FFF5F5F5"/>
      </patternFill>
    </fill>
    <fill>
      <patternFill patternType="solid">
        <fgColor rgb="FFE2F6F5"/>
        <bgColor rgb="FFEDF1F1"/>
      </patternFill>
    </fill>
    <fill>
      <patternFill patternType="solid">
        <fgColor rgb="FFE2CFFF"/>
        <bgColor rgb="FFDDDDDD"/>
      </patternFill>
    </fill>
    <fill>
      <patternFill patternType="solid">
        <fgColor rgb="FFFF2711"/>
        <bgColor rgb="FFFF3838"/>
      </patternFill>
    </fill>
    <fill>
      <patternFill patternType="solid">
        <fgColor rgb="FFF5F5F5"/>
        <bgColor rgb="FFF8F8F8"/>
      </patternFill>
    </fill>
    <fill>
      <patternFill patternType="solid">
        <fgColor rgb="FFD5D5D5"/>
        <bgColor rgb="FFDDDDDD"/>
      </patternFill>
    </fill>
    <fill>
      <patternFill patternType="solid">
        <fgColor rgb="FFDDDDDD"/>
        <bgColor rgb="FFD5D5D5"/>
      </patternFill>
    </fill>
    <fill>
      <patternFill patternType="solid">
        <fgColor rgb="FFFF532A"/>
        <bgColor rgb="FFFF4301"/>
      </patternFill>
    </fill>
    <fill>
      <patternFill patternType="solid">
        <fgColor rgb="FFCC9CD8"/>
        <bgColor rgb="FFB2B2B2"/>
      </patternFill>
    </fill>
    <fill>
      <patternFill patternType="solid">
        <fgColor rgb="FFFF4301"/>
        <bgColor rgb="FFFF532A"/>
      </patternFill>
    </fill>
    <fill>
      <patternFill patternType="solid">
        <fgColor rgb="FF9A9A9A"/>
        <bgColor rgb="FF939393"/>
      </patternFill>
    </fill>
    <fill>
      <patternFill patternType="solid">
        <fgColor rgb="FFFFFF38"/>
        <bgColor rgb="FFFFFF00"/>
      </patternFill>
    </fill>
    <fill>
      <patternFill patternType="solid">
        <fgColor rgb="FFFFAFFF"/>
        <bgColor rgb="FFFEA5FF"/>
      </patternFill>
    </fill>
    <fill>
      <patternFill patternType="solid">
        <fgColor rgb="FF00FF00"/>
        <bgColor rgb="FF62D110"/>
      </patternFill>
    </fill>
    <fill>
      <patternFill patternType="solid">
        <fgColor rgb="FFA6E8F5"/>
        <bgColor rgb="FFB2E3ED"/>
      </patternFill>
    </fill>
    <fill>
      <patternFill patternType="solid">
        <fgColor rgb="FFEDF1F1"/>
        <bgColor rgb="FFEEEEEE"/>
      </patternFill>
    </fill>
    <fill>
      <patternFill patternType="solid">
        <fgColor rgb="FFFFFF00"/>
        <bgColor rgb="FFFFFF38"/>
      </patternFill>
    </fill>
    <fill>
      <patternFill patternType="solid">
        <fgColor rgb="FFFFA6A6"/>
        <bgColor rgb="FFFFA997"/>
      </patternFill>
    </fill>
    <fill>
      <patternFill patternType="solid">
        <fgColor rgb="FFFFA997"/>
        <bgColor rgb="FFFFAA95"/>
      </patternFill>
    </fill>
    <fill>
      <patternFill patternType="solid">
        <fgColor rgb="FFFF837C"/>
        <bgColor rgb="FFFF7B59"/>
      </patternFill>
    </fill>
    <fill>
      <patternFill patternType="solid">
        <fgColor rgb="FFFFC5C3"/>
        <bgColor rgb="FFFFBEBE"/>
      </patternFill>
    </fill>
    <fill>
      <patternFill patternType="solid">
        <fgColor rgb="FFFF7B59"/>
        <bgColor rgb="FFFF6D6D"/>
      </patternFill>
    </fill>
    <fill>
      <patternFill patternType="solid">
        <fgColor rgb="FFFFB7A5"/>
        <bgColor rgb="FFFFBEBE"/>
      </patternFill>
    </fill>
    <fill>
      <patternFill patternType="darkGray">
        <fgColor rgb="FF62D110"/>
        <bgColor rgb="FF2AA44E"/>
      </patternFill>
    </fill>
    <fill>
      <patternFill patternType="solid">
        <fgColor rgb="FFD0EFA9"/>
        <bgColor rgb="FFE8FF9D"/>
      </patternFill>
    </fill>
    <fill>
      <patternFill patternType="solid">
        <fgColor rgb="FF000000"/>
        <bgColor rgb="FF0000FF"/>
      </patternFill>
    </fill>
    <fill>
      <patternFill patternType="solid">
        <fgColor rgb="FFFFBEBE"/>
        <bgColor rgb="FFFFC5C3"/>
      </patternFill>
    </fill>
    <fill>
      <patternFill patternType="solid">
        <fgColor rgb="FFCCCCCC"/>
        <bgColor rgb="FFD5D5D5"/>
      </patternFill>
    </fill>
    <fill>
      <patternFill patternType="solid">
        <fgColor rgb="FF00ABFF"/>
        <bgColor rgb="FF2AA44E"/>
      </patternFill>
    </fill>
    <fill>
      <patternFill patternType="solid">
        <fgColor rgb="FFB2E3ED"/>
        <bgColor rgb="FFA6E8F5"/>
      </patternFill>
    </fill>
    <fill>
      <patternFill patternType="solid">
        <fgColor rgb="FFB2B2B2"/>
        <bgColor rgb="FF9A9A9A"/>
      </patternFill>
    </fill>
    <fill>
      <patternFill patternType="solid">
        <fgColor rgb="FFA302FD"/>
        <bgColor rgb="FFFF4ACD"/>
      </patternFill>
    </fill>
    <fill>
      <patternFill patternType="solid">
        <fgColor rgb="FFE0C2CD"/>
        <bgColor rgb="FFCCCCCC"/>
      </patternFill>
    </fill>
    <fill>
      <patternFill patternType="solid">
        <fgColor rgb="FFFFB005"/>
        <bgColor rgb="FFFFBF00"/>
      </patternFill>
    </fill>
    <fill>
      <patternFill patternType="solid">
        <fgColor rgb="FFFF4ACD"/>
        <bgColor rgb="FFFF6D6D"/>
      </patternFill>
    </fill>
    <fill>
      <patternFill patternType="solid">
        <fgColor rgb="FFFEA5FF"/>
        <bgColor rgb="FFFFA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D9D08"/>
      </left>
      <right style="thin">
        <color rgb="FFFD9D08"/>
      </right>
      <top style="thin">
        <color rgb="FFFD9D08"/>
      </top>
      <bottom style="thin">
        <color rgb="FFFD9D08"/>
      </bottom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/>
      <right/>
      <top/>
      <bottom style="hair">
        <color rgb="FFDDDDDD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/>
      <diagonal/>
    </border>
    <border diagonalUp="false" diagonalDown="false"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general" vertical="bottom" textRotation="45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general" vertical="bottom" textRotation="45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general" vertical="center" textRotation="45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general" vertical="center" textRotation="45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27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34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4" fontId="34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5" fontId="34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6" fontId="34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6" fontId="34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34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34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4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34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34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4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34" fillId="1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34" fillId="1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4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0" fontId="34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1" fontId="3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2" fontId="4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1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4" fillId="1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4" fillId="1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4" fillId="2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1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4" fillId="2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4" fillId="2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4" fillId="2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4" fillId="2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7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2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5" fillId="2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4" fillId="2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62" fillId="2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6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4" fillId="2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4" fillId="2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4" fillId="1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27" fillId="2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80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5" fillId="2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6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7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4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5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2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6" fontId="5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1" fillId="7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7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2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3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5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7" fontId="6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6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3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7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0" fillId="3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0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1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6" fontId="5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5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3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0" fillId="3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3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3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3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5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6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7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8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3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2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4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4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4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4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4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4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4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4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4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4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2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4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4ACD"/>
      <rgbColor rgb="FFD5D5D5"/>
      <rgbColor rgb="FFFF4301"/>
      <rgbColor rgb="FFFFB005"/>
      <rgbColor rgb="FFEEEEEE"/>
      <rgbColor rgb="FFFF7B59"/>
      <rgbColor rgb="FFA302FD"/>
      <rgbColor rgb="FFFFA997"/>
      <rgbColor rgb="FFCCCCCC"/>
      <rgbColor rgb="FF9A9A9A"/>
      <rgbColor rgb="FFB2B2B2"/>
      <rgbColor rgb="FFFF3838"/>
      <rgbColor rgb="FFF8F8F8"/>
      <rgbColor rgb="FFE2F6F5"/>
      <rgbColor rgb="FFFFC5C3"/>
      <rgbColor rgb="FFFF837C"/>
      <rgbColor rgb="FFFFB7A5"/>
      <rgbColor rgb="FFE2CFFF"/>
      <rgbColor rgb="FFF5F5F5"/>
      <rgbColor rgb="FFFEA5FF"/>
      <rgbColor rgb="FFFFFF38"/>
      <rgbColor rgb="FFDDDDDD"/>
      <rgbColor rgb="FFFFBEBE"/>
      <rgbColor rgb="FFFECFD1"/>
      <rgbColor rgb="FFFFAA95"/>
      <rgbColor rgb="FFFFDEFC"/>
      <rgbColor rgb="FF00ABFF"/>
      <rgbColor rgb="FFEDF1F1"/>
      <rgbColor rgb="FFD0EFA9"/>
      <rgbColor rgb="FFFFFFA6"/>
      <rgbColor rgb="FFA6E8F5"/>
      <rgbColor rgb="FFFFA6A6"/>
      <rgbColor rgb="FFCC9CD8"/>
      <rgbColor rgb="FFFFC7B2"/>
      <rgbColor rgb="FFE0C2CD"/>
      <rgbColor rgb="FFB2E3ED"/>
      <rgbColor rgb="FF62D110"/>
      <rgbColor rgb="FFFFBF00"/>
      <rgbColor rgb="FFFD9D08"/>
      <rgbColor rgb="FFFF532A"/>
      <rgbColor rgb="FFFF6D6D"/>
      <rgbColor rgb="FF939393"/>
      <rgbColor rgb="FFFFD8CE"/>
      <rgbColor rgb="FF2AA44E"/>
      <rgbColor rgb="FFE8FF9D"/>
      <rgbColor rgb="FFFFD428"/>
      <rgbColor rgb="FFC4211E"/>
      <rgbColor rgb="FFFF2711"/>
      <rgbColor rgb="FFFFAFFF"/>
      <rgbColor rgb="FFFFB66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8.png"/><Relationship Id="rId2" Type="http://schemas.openxmlformats.org/officeDocument/2006/relationships/hyperlink" Target="http://www.shinsuke-yonebayashi.x0.com/ckesu-/l1l/gazo/ex-/arc/ex-a2en-pu-xlsx.xlsx" TargetMode="External"/><Relationship Id="rId3" Type="http://schemas.openxmlformats.org/officeDocument/2006/relationships/image" Target="../media/image19.png"/><Relationship Id="rId4" Type="http://schemas.openxmlformats.org/officeDocument/2006/relationships/hyperlink" Target="http://www.shinsuke-yonebayashi.x0.com/ckesu-/l1l/gazo/ex-/arc/ex-a2en-th-xlsx.xlsx" TargetMode="External"/><Relationship Id="rId5" Type="http://schemas.openxmlformats.org/officeDocument/2006/relationships/image" Target="../media/image20.png"/><Relationship Id="rId6" Type="http://schemas.openxmlformats.org/officeDocument/2006/relationships/hyperlink" Target="http://www.shinsuke-yonebayashi.x0.com/ckesu-/l1l/gazo/ex-/ex-2men-xlsx.xlsx" TargetMode="External"/><Relationship Id="rId7" Type="http://schemas.openxmlformats.org/officeDocument/2006/relationships/image" Target="../media/image21.png"/><Relationship Id="rId8" Type="http://schemas.openxmlformats.org/officeDocument/2006/relationships/hyperlink" Target="http://www.shinsuke-yonebayashi.x0.com/ckesu-/l1l/gazo/ex-/ex-2min-xlsx.xlsx" TargetMode="External"/><Relationship Id="rId9" Type="http://schemas.openxmlformats.org/officeDocument/2006/relationships/image" Target="../media/image22.png"/><Relationship Id="rId10" Type="http://schemas.openxmlformats.org/officeDocument/2006/relationships/hyperlink" Target="http://www.shinsuke-yonebayashi.x0.com/ckesu-/l1l/gazo/ex-/ex-2mon-xlsx.xlsx" TargetMode="External"/><Relationship Id="rId11" Type="http://schemas.openxmlformats.org/officeDocument/2006/relationships/image" Target="../media/image23.png"/><Relationship Id="rId12" Type="http://schemas.openxmlformats.org/officeDocument/2006/relationships/hyperlink" Target="http://www.shinsuke-yonebayashi.x0.com/ckesu-/l1l/gazo/ex-/ex-2en-xlsx.xlsx" TargetMode="External"/><Relationship Id="rId13" Type="http://schemas.openxmlformats.org/officeDocument/2006/relationships/image" Target="../media/image24.png"/><Relationship Id="rId14" Type="http://schemas.openxmlformats.org/officeDocument/2006/relationships/hyperlink" Target="http://www.shinsuke-yonebayashi.x0.com/ckesu-/l1l/gazo/ex-/ex-2un-xlsx.xlsx" TargetMode="External"/><Relationship Id="rId15" Type="http://schemas.openxmlformats.org/officeDocument/2006/relationships/image" Target="../media/image25.png"/><Relationship Id="rId16" Type="http://schemas.openxmlformats.org/officeDocument/2006/relationships/hyperlink" Target="http://www.shinsuke-yonebayashi.x0.com/ckesu-/l1l/gazo/ex-/ex-2ten-xlsx.xlsx" TargetMode="External"/><Relationship Id="rId17" Type="http://schemas.openxmlformats.org/officeDocument/2006/relationships/image" Target="../media/image26.png"/><Relationship Id="rId18" Type="http://schemas.openxmlformats.org/officeDocument/2006/relationships/hyperlink" Target="http://www.shinsuke-yonebayashi.x0.com/ckesu-/l1l/gazo/ex-/ex-2rin-xlsx.xlsx" TargetMode="External"/><Relationship Id="rId19" Type="http://schemas.openxmlformats.org/officeDocument/2006/relationships/image" Target="../media/image27.png"/><Relationship Id="rId20" Type="http://schemas.openxmlformats.org/officeDocument/2006/relationships/hyperlink" Target="http://www.shinsuke-yonebayashi.x0.com/ckesu-/l1l/gazo/ex-/ex-2gen-xlsx.xlsx" TargetMode="External"/><Relationship Id="rId21" Type="http://schemas.openxmlformats.org/officeDocument/2006/relationships/image" Target="../media/image28.png"/><Relationship Id="rId22" Type="http://schemas.openxmlformats.org/officeDocument/2006/relationships/hyperlink" Target="http://www.shinsuke-yonebayashi.x0.com/ckesu-/l1l/om/0-k3/kyo/2men/jp/3d-2en.html" TargetMode="External"/><Relationship Id="rId23" Type="http://schemas.openxmlformats.org/officeDocument/2006/relationships/image" Target="../media/image29.png"/><Relationship Id="rId24" Type="http://schemas.openxmlformats.org/officeDocument/2006/relationships/hyperlink" Target="#VOL!A1"/><Relationship Id="rId25" Type="http://schemas.openxmlformats.org/officeDocument/2006/relationships/image" Target="../media/image30.png"/><Relationship Id="rId26" Type="http://schemas.openxmlformats.org/officeDocument/2006/relationships/hyperlink" Target="http://www.shinsuke-yonebayashi.x0.com/ckesu-/l1l/wa/0-k3/kyo/rittai/hyou/hyou-en.html" TargetMode="External"/><Relationship Id="rId27" Type="http://schemas.openxmlformats.org/officeDocument/2006/relationships/image" Target="../media/image31.png"/><Relationship Id="rId28" Type="http://schemas.openxmlformats.org/officeDocument/2006/relationships/hyperlink" Target="http://www.shinsuke-yonebayashi.x0.com/ckesu-/l1l/gazo/ex-/jiku/jk-2en.xlsx" TargetMode="External"/><Relationship Id="rId29" Type="http://schemas.openxmlformats.org/officeDocument/2006/relationships/image" Target="../media/image32.png"/><Relationship Id="rId30" Type="http://schemas.openxmlformats.org/officeDocument/2006/relationships/image" Target="../media/image33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326160</xdr:colOff>
      <xdr:row>12</xdr:row>
      <xdr:rowOff>177480</xdr:rowOff>
    </xdr:from>
    <xdr:to>
      <xdr:col>11</xdr:col>
      <xdr:colOff>378360</xdr:colOff>
      <xdr:row>15</xdr:row>
      <xdr:rowOff>117360</xdr:rowOff>
    </xdr:to>
    <xdr:pic>
      <xdr:nvPicPr>
        <xdr:cNvPr id="0" name="画像 16" descr=""/>
        <xdr:cNvPicPr/>
      </xdr:nvPicPr>
      <xdr:blipFill>
        <a:blip r:embed="rId1"/>
        <a:stretch/>
      </xdr:blipFill>
      <xdr:spPr>
        <a:xfrm>
          <a:off x="9049320" y="3132000"/>
          <a:ext cx="770760" cy="788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29160</xdr:colOff>
      <xdr:row>75</xdr:row>
      <xdr:rowOff>7920</xdr:rowOff>
    </xdr:from>
    <xdr:to>
      <xdr:col>5</xdr:col>
      <xdr:colOff>105480</xdr:colOff>
      <xdr:row>77</xdr:row>
      <xdr:rowOff>13320</xdr:rowOff>
    </xdr:to>
    <xdr:sp>
      <xdr:nvSpPr>
        <xdr:cNvPr id="1" name="画像 17">
          <a:hlinkClick r:id="rId2"/>
        </xdr:cNvPr>
        <xdr:cNvSpPr/>
      </xdr:nvSpPr>
      <xdr:spPr>
        <a:xfrm>
          <a:off x="2904480" y="19494720"/>
          <a:ext cx="795240" cy="437400"/>
        </a:xfrm>
        <a:prstGeom prst="rect">
          <a:avLst/>
        </a:prstGeom>
        <a:blipFill rotWithShape="0">
          <a:blip r:embed="rId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Ψ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19080</xdr:colOff>
      <xdr:row>72</xdr:row>
      <xdr:rowOff>119880</xdr:rowOff>
    </xdr:from>
    <xdr:to>
      <xdr:col>5</xdr:col>
      <xdr:colOff>95400</xdr:colOff>
      <xdr:row>74</xdr:row>
      <xdr:rowOff>125280</xdr:rowOff>
    </xdr:to>
    <xdr:sp>
      <xdr:nvSpPr>
        <xdr:cNvPr id="2" name="画像 18">
          <a:hlinkClick r:id="rId4"/>
        </xdr:cNvPr>
        <xdr:cNvSpPr/>
      </xdr:nvSpPr>
      <xdr:spPr>
        <a:xfrm>
          <a:off x="2894400" y="18959040"/>
          <a:ext cx="795240" cy="437400"/>
        </a:xfrm>
        <a:prstGeom prst="rect">
          <a:avLst/>
        </a:prstGeom>
        <a:blipFill rotWithShape="0">
          <a:blip r:embed="rId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θ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6</xdr:col>
      <xdr:colOff>131040</xdr:colOff>
      <xdr:row>71</xdr:row>
      <xdr:rowOff>28440</xdr:rowOff>
    </xdr:from>
    <xdr:to>
      <xdr:col>6</xdr:col>
      <xdr:colOff>930960</xdr:colOff>
      <xdr:row>73</xdr:row>
      <xdr:rowOff>43200</xdr:rowOff>
    </xdr:to>
    <xdr:pic>
      <xdr:nvPicPr>
        <xdr:cNvPr id="3" name="画像 19" descr="">
          <a:hlinkClick r:id="rId6"/>
        </xdr:cNvPr>
        <xdr:cNvPicPr/>
      </xdr:nvPicPr>
      <xdr:blipFill>
        <a:blip r:embed="rId7"/>
        <a:stretch/>
      </xdr:blipFill>
      <xdr:spPr>
        <a:xfrm>
          <a:off x="4646520" y="18651600"/>
          <a:ext cx="799920" cy="446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865080</xdr:colOff>
      <xdr:row>69</xdr:row>
      <xdr:rowOff>408240</xdr:rowOff>
    </xdr:from>
    <xdr:to>
      <xdr:col>7</xdr:col>
      <xdr:colOff>565920</xdr:colOff>
      <xdr:row>72</xdr:row>
      <xdr:rowOff>5400</xdr:rowOff>
    </xdr:to>
    <xdr:pic>
      <xdr:nvPicPr>
        <xdr:cNvPr id="4" name="画像 22" descr="">
          <a:hlinkClick r:id="rId8"/>
        </xdr:cNvPr>
        <xdr:cNvPicPr/>
      </xdr:nvPicPr>
      <xdr:blipFill>
        <a:blip r:embed="rId9"/>
        <a:stretch/>
      </xdr:blipFill>
      <xdr:spPr>
        <a:xfrm>
          <a:off x="5380560" y="18397800"/>
          <a:ext cx="799920" cy="446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444600</xdr:colOff>
      <xdr:row>71</xdr:row>
      <xdr:rowOff>14040</xdr:rowOff>
    </xdr:from>
    <xdr:to>
      <xdr:col>10</xdr:col>
      <xdr:colOff>144720</xdr:colOff>
      <xdr:row>73</xdr:row>
      <xdr:rowOff>29160</xdr:rowOff>
    </xdr:to>
    <xdr:pic>
      <xdr:nvPicPr>
        <xdr:cNvPr id="5" name="画像 23" descr="">
          <a:hlinkClick r:id="rId10"/>
        </xdr:cNvPr>
        <xdr:cNvPicPr/>
      </xdr:nvPicPr>
      <xdr:blipFill>
        <a:blip r:embed="rId11"/>
        <a:stretch/>
      </xdr:blipFill>
      <xdr:spPr>
        <a:xfrm>
          <a:off x="8068320" y="18637200"/>
          <a:ext cx="799560" cy="447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290520</xdr:colOff>
      <xdr:row>69</xdr:row>
      <xdr:rowOff>387360</xdr:rowOff>
    </xdr:from>
    <xdr:to>
      <xdr:col>6</xdr:col>
      <xdr:colOff>225360</xdr:colOff>
      <xdr:row>71</xdr:row>
      <xdr:rowOff>200880</xdr:rowOff>
    </xdr:to>
    <xdr:pic>
      <xdr:nvPicPr>
        <xdr:cNvPr id="6" name="画像 24" descr="">
          <a:hlinkClick r:id="rId12"/>
        </xdr:cNvPr>
        <xdr:cNvPicPr/>
      </xdr:nvPicPr>
      <xdr:blipFill>
        <a:blip r:embed="rId13"/>
        <a:stretch/>
      </xdr:blipFill>
      <xdr:spPr>
        <a:xfrm>
          <a:off x="3884760" y="18376920"/>
          <a:ext cx="856080" cy="447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517320</xdr:colOff>
      <xdr:row>71</xdr:row>
      <xdr:rowOff>4320</xdr:rowOff>
    </xdr:from>
    <xdr:to>
      <xdr:col>8</xdr:col>
      <xdr:colOff>230760</xdr:colOff>
      <xdr:row>73</xdr:row>
      <xdr:rowOff>19440</xdr:rowOff>
    </xdr:to>
    <xdr:pic>
      <xdr:nvPicPr>
        <xdr:cNvPr id="7" name="画像 25" descr="">
          <a:hlinkClick r:id="rId14"/>
        </xdr:cNvPr>
        <xdr:cNvPicPr/>
      </xdr:nvPicPr>
      <xdr:blipFill>
        <a:blip r:embed="rId15"/>
        <a:stretch/>
      </xdr:blipFill>
      <xdr:spPr>
        <a:xfrm>
          <a:off x="6131880" y="18627480"/>
          <a:ext cx="801360" cy="447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597600</xdr:colOff>
      <xdr:row>69</xdr:row>
      <xdr:rowOff>370440</xdr:rowOff>
    </xdr:from>
    <xdr:to>
      <xdr:col>9</xdr:col>
      <xdr:colOff>532440</xdr:colOff>
      <xdr:row>71</xdr:row>
      <xdr:rowOff>184320</xdr:rowOff>
    </xdr:to>
    <xdr:pic>
      <xdr:nvPicPr>
        <xdr:cNvPr id="8" name="画像 26" descr="">
          <a:hlinkClick r:id="rId16"/>
        </xdr:cNvPr>
        <xdr:cNvPicPr/>
      </xdr:nvPicPr>
      <xdr:blipFill>
        <a:blip r:embed="rId17"/>
        <a:stretch/>
      </xdr:blipFill>
      <xdr:spPr>
        <a:xfrm>
          <a:off x="7300080" y="18360000"/>
          <a:ext cx="856080" cy="447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105840</xdr:colOff>
      <xdr:row>71</xdr:row>
      <xdr:rowOff>27000</xdr:rowOff>
    </xdr:from>
    <xdr:to>
      <xdr:col>12</xdr:col>
      <xdr:colOff>187920</xdr:colOff>
      <xdr:row>73</xdr:row>
      <xdr:rowOff>42480</xdr:rowOff>
    </xdr:to>
    <xdr:pic>
      <xdr:nvPicPr>
        <xdr:cNvPr id="9" name="画像 27" descr="">
          <a:hlinkClick r:id="rId18"/>
        </xdr:cNvPr>
        <xdr:cNvPicPr/>
      </xdr:nvPicPr>
      <xdr:blipFill>
        <a:blip r:embed="rId19"/>
        <a:stretch/>
      </xdr:blipFill>
      <xdr:spPr>
        <a:xfrm>
          <a:off x="9547560" y="18650160"/>
          <a:ext cx="801000" cy="447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82800</xdr:colOff>
      <xdr:row>69</xdr:row>
      <xdr:rowOff>407880</xdr:rowOff>
    </xdr:from>
    <xdr:to>
      <xdr:col>11</xdr:col>
      <xdr:colOff>165240</xdr:colOff>
      <xdr:row>72</xdr:row>
      <xdr:rowOff>5400</xdr:rowOff>
    </xdr:to>
    <xdr:pic>
      <xdr:nvPicPr>
        <xdr:cNvPr id="10" name="画像 28" descr="">
          <a:hlinkClick r:id="rId20"/>
        </xdr:cNvPr>
        <xdr:cNvPicPr/>
      </xdr:nvPicPr>
      <xdr:blipFill>
        <a:blip r:embed="rId21"/>
        <a:stretch/>
      </xdr:blipFill>
      <xdr:spPr>
        <a:xfrm>
          <a:off x="8805960" y="18397440"/>
          <a:ext cx="801000" cy="447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781560</xdr:colOff>
      <xdr:row>74</xdr:row>
      <xdr:rowOff>89640</xdr:rowOff>
    </xdr:from>
    <xdr:to>
      <xdr:col>9</xdr:col>
      <xdr:colOff>430920</xdr:colOff>
      <xdr:row>76</xdr:row>
      <xdr:rowOff>197640</xdr:rowOff>
    </xdr:to>
    <xdr:sp>
      <xdr:nvSpPr>
        <xdr:cNvPr id="11" name="画像 29">
          <a:hlinkClick r:id="rId22"/>
        </xdr:cNvPr>
        <xdr:cNvSpPr/>
      </xdr:nvSpPr>
      <xdr:spPr>
        <a:xfrm>
          <a:off x="7484040" y="19360800"/>
          <a:ext cx="570600" cy="53964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PLOT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969120</xdr:colOff>
      <xdr:row>74</xdr:row>
      <xdr:rowOff>89640</xdr:rowOff>
    </xdr:from>
    <xdr:to>
      <xdr:col>8</xdr:col>
      <xdr:colOff>397080</xdr:colOff>
      <xdr:row>76</xdr:row>
      <xdr:rowOff>197640</xdr:rowOff>
    </xdr:to>
    <xdr:sp>
      <xdr:nvSpPr>
        <xdr:cNvPr id="12" name="画像 30">
          <a:hlinkClick r:id="rId24"/>
        </xdr:cNvPr>
        <xdr:cNvSpPr/>
      </xdr:nvSpPr>
      <xdr:spPr>
        <a:xfrm>
          <a:off x="6583680" y="19360800"/>
          <a:ext cx="515880" cy="53964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VOL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69120</xdr:colOff>
      <xdr:row>74</xdr:row>
      <xdr:rowOff>89640</xdr:rowOff>
    </xdr:from>
    <xdr:to>
      <xdr:col>7</xdr:col>
      <xdr:colOff>584640</xdr:colOff>
      <xdr:row>76</xdr:row>
      <xdr:rowOff>197640</xdr:rowOff>
    </xdr:to>
    <xdr:sp>
      <xdr:nvSpPr>
        <xdr:cNvPr id="13" name="画像 31">
          <a:hlinkClick r:id="rId26"/>
        </xdr:cNvPr>
        <xdr:cNvSpPr/>
      </xdr:nvSpPr>
      <xdr:spPr>
        <a:xfrm>
          <a:off x="5683680" y="19360800"/>
          <a:ext cx="515520" cy="53964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RACE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815400</xdr:colOff>
      <xdr:row>74</xdr:row>
      <xdr:rowOff>89640</xdr:rowOff>
    </xdr:from>
    <xdr:to>
      <xdr:col>10</xdr:col>
      <xdr:colOff>231480</xdr:colOff>
      <xdr:row>76</xdr:row>
      <xdr:rowOff>197640</xdr:rowOff>
    </xdr:to>
    <xdr:sp>
      <xdr:nvSpPr>
        <xdr:cNvPr id="14" name="画像 32">
          <a:hlinkClick r:id="rId28"/>
        </xdr:cNvPr>
        <xdr:cNvSpPr/>
      </xdr:nvSpPr>
      <xdr:spPr>
        <a:xfrm>
          <a:off x="8439120" y="19360800"/>
          <a:ext cx="515520" cy="539640"/>
        </a:xfrm>
        <a:prstGeom prst="rect">
          <a:avLst/>
        </a:prstGeom>
        <a:blipFill rotWithShape="0">
          <a:blip r:embed="rId2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JIKU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5</xdr:col>
      <xdr:colOff>106560</xdr:colOff>
      <xdr:row>1</xdr:row>
      <xdr:rowOff>18000</xdr:rowOff>
    </xdr:from>
    <xdr:to>
      <xdr:col>11</xdr:col>
      <xdr:colOff>644400</xdr:colOff>
      <xdr:row>3</xdr:row>
      <xdr:rowOff>151920</xdr:rowOff>
    </xdr:to>
    <xdr:pic>
      <xdr:nvPicPr>
        <xdr:cNvPr id="15" name="画像 33" descr=""/>
        <xdr:cNvPicPr/>
      </xdr:nvPicPr>
      <xdr:blipFill>
        <a:blip r:embed="rId30"/>
        <a:stretch/>
      </xdr:blipFill>
      <xdr:spPr>
        <a:xfrm>
          <a:off x="3700800" y="234000"/>
          <a:ext cx="6385320" cy="671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36000</xdr:colOff>
      <xdr:row>6</xdr:row>
      <xdr:rowOff>470520</xdr:rowOff>
    </xdr:from>
    <xdr:to>
      <xdr:col>3</xdr:col>
      <xdr:colOff>88200</xdr:colOff>
      <xdr:row>10</xdr:row>
      <xdr:rowOff>136440</xdr:rowOff>
    </xdr:to>
    <xdr:pic>
      <xdr:nvPicPr>
        <xdr:cNvPr id="16" name="画像 15" descr=""/>
        <xdr:cNvPicPr/>
      </xdr:nvPicPr>
      <xdr:blipFill>
        <a:blip r:embed="rId1"/>
        <a:stretch/>
      </xdr:blipFill>
      <xdr:spPr>
        <a:xfrm flipH="1">
          <a:off x="1473480" y="1872000"/>
          <a:ext cx="771120" cy="7884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www.shinsuke-yonebayashi.x0.com/ckesu-/l1l/sj/0-k3/kyo/rittai/4quad.html" TargetMode="External"/><Relationship Id="rId2" Type="http://schemas.openxmlformats.org/officeDocument/2006/relationships/hyperlink" Target="http://www.shinsuke-yonebayashi.x0.com/ckesu-/l1l/sj/0-k3/kyo/rittai/4quad.html" TargetMode="External"/><Relationship Id="rId3" Type="http://schemas.openxmlformats.org/officeDocument/2006/relationships/hyperlink" Target="http://www.shinsuke-yonebayashi.x0.com/ckesu-/l1l/sj/0-k3/kyo/rittai/4quad.html" TargetMode="External"/><Relationship Id="rId4" Type="http://schemas.openxmlformats.org/officeDocument/2006/relationships/hyperlink" Target="http://www.shinsuke-yonebayashi.x0.com/ckesu-/l1l/sj/0-k3/kyo/rittai/4quad.html" TargetMode="External"/><Relationship Id="rId5" Type="http://schemas.openxmlformats.org/officeDocument/2006/relationships/hyperlink" Target="http://www.shinsuke-yonebayashi.x0.com/ckesu-/l1l/sr/0-k3/kyo/rittai/56/k3-5555/en.html" TargetMode="External"/><Relationship Id="rId6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://www.shinsuke-yonebayashi.x0.com/ckesu-/l1l/gazo/ex-/fugou-rad-memo.txt" TargetMode="External"/><Relationship Id="rId2" Type="http://schemas.openxmlformats.org/officeDocument/2006/relationships/hyperlink" Target="fugou-rad-memo.txt" TargetMode="External"/><Relationship Id="rId3" Type="http://schemas.openxmlformats.org/officeDocument/2006/relationships/hyperlink" Target="http://www.shinsuke-yonebayashi.x0.com/ckesu-/l1l/gazo/ex-/fugou-rad-memo.txt" TargetMode="External"/><Relationship Id="rId4" Type="http://schemas.openxmlformats.org/officeDocument/2006/relationships/hyperlink" Target="http://www.shinsuke-yonebayashi.x0.com/ckesu-/l1l/sr/0-k3/kyo/cos/a-kk-3-r.html" TargetMode="External"/><Relationship Id="rId5" Type="http://schemas.openxmlformats.org/officeDocument/2006/relationships/hyperlink" Target="fugou-rad-memo.txt" TargetMode="External"/><Relationship Id="rId6" Type="http://schemas.openxmlformats.org/officeDocument/2006/relationships/hyperlink" Target="http://www.shinsuke-yonebayashi.x0.com/ckesu-/l1l/gazo/ex-/fugou-rad-memo.txt" TargetMode="External"/><Relationship Id="rId7" Type="http://schemas.openxmlformats.org/officeDocument/2006/relationships/hyperlink" Target="http://www.shinsuke-yonebayashi.x0.com/ckesu-/l1l/sr/0-k3/kyo/cos/a-kk-3-r.html" TargetMode="External"/><Relationship Id="rId8" Type="http://schemas.openxmlformats.org/officeDocument/2006/relationships/hyperlink" Target="http://www.shinsuke-yonebayashi.x0.com/ckesu-/l1l/gazo/ex-/fugou-rad-memo.txt" TargetMode="External"/><Relationship Id="rId9" Type="http://schemas.openxmlformats.org/officeDocument/2006/relationships/hyperlink" Target="http://www.shinsuke-yonebayashi.x0.com/ckesu-/l1l/sr/0-k3/kyo/cos/a-kk-3-p.html" TargetMode="External"/><Relationship Id="rId10" Type="http://schemas.openxmlformats.org/officeDocument/2006/relationships/hyperlink" Target="http://www.shinsuke-yonebayashi.x0.com/ckesu-/l1l/gazo/ex-/fugou-8quad-memo.txt" TargetMode="External"/><Relationship Id="rId11" Type="http://schemas.openxmlformats.org/officeDocument/2006/relationships/hyperlink" Target="fugou-8quad-memo.txt" TargetMode="External"/><Relationship Id="rId12" Type="http://schemas.openxmlformats.org/officeDocument/2006/relationships/hyperlink" Target="http://www.shinsuke-yonebayashi.x0.com/ckesu-/l1l/gazo/ex-/fugou-8quad-memo.txt" TargetMode="External"/><Relationship Id="rId13" Type="http://schemas.openxmlformats.org/officeDocument/2006/relationships/hyperlink" Target="fugou-8quad-memo.txt" TargetMode="External"/><Relationship Id="rId14" Type="http://schemas.openxmlformats.org/officeDocument/2006/relationships/hyperlink" Target="http://www.shinsuke-yonebayashi.x0.com/ckesu-/l1l/gazo/ex-/fugou-8quad-memo.txt" TargetMode="External"/><Relationship Id="rId15" Type="http://schemas.openxmlformats.org/officeDocument/2006/relationships/hyperlink" Target="fugou-8quad-memo.txt" TargetMode="External"/><Relationship Id="rId16" Type="http://schemas.openxmlformats.org/officeDocument/2006/relationships/hyperlink" Target="http://www.shinsuke-yonebayashi.x0.com/ckesu-/l1l/gazo/ex-/fugou-8quad-memo.txt" TargetMode="External"/><Relationship Id="rId17" Type="http://schemas.openxmlformats.org/officeDocument/2006/relationships/hyperlink" Target="fugou-8quad-memo.tx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I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70312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3.8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2"/>
      <c r="G1" s="3" t="n">
        <f aca="false">RADIANS(MOD(G9-180,-360)+180)</f>
        <v>0</v>
      </c>
      <c r="H1" s="3"/>
      <c r="I1" s="3"/>
      <c r="J1" s="3" t="n">
        <f aca="false">RADIANS(MOD(J9-180,-360)+180)</f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7" hidden="false" customHeight="true" outlineLevel="0" collapsed="false">
      <c r="A2" s="1"/>
      <c r="B2" s="1"/>
      <c r="C2" s="4" t="s">
        <v>0</v>
      </c>
      <c r="D2" s="1"/>
      <c r="E2" s="1"/>
      <c r="F2" s="5"/>
      <c r="G2" s="6" t="n">
        <f aca="false">ROUNDDOWN((G4)/18*10^6,-6)/10^5+ MOD(ROUNDDOWN((G4)/18*10^6,-5),1000000)/10^6+ MOD(ROUNDDOWN((G4)/18*10^6,-4),100000)/10^7+ MOD(ROUNDDOWN((G4)/18*10^6,-3),10000)/10^8+ MOD(ROUNDDOWN((G4)/18*10^6,-2),1000)/10^9+ MOD(ROUNDDOWN((G4)/18*10^6,-1),100)/10^10+ MOD(ROUNDDOWN((G4)/18*10^6,0),10)/10^11</f>
        <v>0</v>
      </c>
      <c r="H2" s="2"/>
      <c r="I2" s="2"/>
      <c r="J2" s="7" t="n">
        <f aca="false">IF(ROUND(J4,6)=360,0, ROUNDDOWN((J4)/36*10^6,-6)/10^6+ MOD(ROUNDDOWN((J4)/36*10^6,-5),1000000)/10^7+ MOD(ROUNDDOWN((J4)/36*10^6,-4),100000)/10^8+ MOD(ROUNDDOWN((J4)/36*10^6,-3),10000)/10^9+ MOD(ROUNDDOWN((J4)/36*10^6,-2),1000)/10^10+ MOD(ROUNDDOWN((J4)/36*10^6,-1),100)/10^11+ MOD(ROUNDDOWN((J4)/36*10^6,0),10)/10^12)</f>
        <v>0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C2" s="8"/>
    </row>
    <row r="3" customFormat="false" ht="25.35" hidden="false" customHeight="true" outlineLevel="0" collapsed="false">
      <c r="A3" s="1"/>
      <c r="B3" s="1"/>
      <c r="C3" s="9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C3" s="10"/>
      <c r="AD3" s="11"/>
      <c r="AE3" s="12"/>
      <c r="AF3" s="13"/>
      <c r="AG3" s="13"/>
      <c r="AH3" s="13"/>
      <c r="AI3" s="13"/>
    </row>
    <row r="4" customFormat="false" ht="17" hidden="false" customHeight="true" outlineLevel="0" collapsed="false">
      <c r="A4" s="1"/>
      <c r="B4" s="1"/>
      <c r="C4" s="1"/>
      <c r="D4" s="1"/>
      <c r="E4" s="1"/>
      <c r="F4" s="14"/>
      <c r="G4" s="15" t="n">
        <f aca="false">ABS(DEGREES(ACOS((G28))))</f>
        <v>0</v>
      </c>
      <c r="H4" s="14"/>
      <c r="I4" s="16"/>
      <c r="J4" s="17" t="n">
        <f aca="false">IF(ROUND(G28,6)=-1,0,IF(-DEGREES(ATAN2((K28),(I28))) &lt;0 , 360-DEGREES(ATAN2((K28),(I28))), -DEGREES(ATAN2((K28),(I28)))))</f>
        <v>-0</v>
      </c>
      <c r="K4" s="1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customFormat="false" ht="17" hidden="false" customHeight="tru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8" t="s">
        <v>2</v>
      </c>
      <c r="R5" s="19"/>
      <c r="S5" s="1"/>
      <c r="T5" s="1"/>
      <c r="U5" s="1"/>
      <c r="V5" s="1"/>
      <c r="W5" s="1"/>
      <c r="X5" s="1"/>
      <c r="Y5" s="1"/>
      <c r="Z5" s="1"/>
    </row>
    <row r="6" customFormat="false" ht="17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0"/>
      <c r="R6" s="19"/>
      <c r="S6" s="1"/>
      <c r="T6" s="1"/>
      <c r="U6" s="1"/>
      <c r="V6" s="1"/>
      <c r="W6" s="1"/>
      <c r="X6" s="1"/>
      <c r="Y6" s="1"/>
      <c r="Z6" s="1"/>
    </row>
    <row r="7" customFormat="false" ht="17" hidden="false" customHeight="true" outlineLevel="0" collapsed="false">
      <c r="A7" s="1"/>
      <c r="B7" s="1"/>
      <c r="C7" s="1"/>
      <c r="D7" s="1"/>
      <c r="E7" s="1"/>
      <c r="F7" s="21"/>
      <c r="G7" s="1"/>
      <c r="H7" s="1"/>
      <c r="I7" s="22"/>
      <c r="J7" s="1"/>
      <c r="K7" s="1"/>
      <c r="L7" s="1"/>
      <c r="M7" s="1"/>
      <c r="N7" s="1"/>
      <c r="O7" s="1"/>
      <c r="P7" s="1"/>
      <c r="Q7" s="18" t="s">
        <v>3</v>
      </c>
      <c r="R7" s="1"/>
      <c r="S7" s="1"/>
      <c r="T7" s="1"/>
      <c r="U7" s="1"/>
      <c r="V7" s="1"/>
      <c r="W7" s="1"/>
      <c r="X7" s="1"/>
      <c r="Y7" s="1"/>
      <c r="Z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23" t="s">
        <v>4</v>
      </c>
      <c r="H8" s="1"/>
      <c r="I8" s="1"/>
      <c r="J8" s="23" t="s">
        <v>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customFormat="false" ht="37.3" hidden="false" customHeight="true" outlineLevel="0" collapsed="false">
      <c r="A9" s="24"/>
      <c r="B9" s="25"/>
      <c r="C9" s="1"/>
      <c r="D9" s="26"/>
      <c r="E9" s="1"/>
      <c r="F9" s="27" t="s">
        <v>6</v>
      </c>
      <c r="G9" s="28"/>
      <c r="H9" s="1" t="s">
        <v>7</v>
      </c>
      <c r="I9" s="29" t="s">
        <v>8</v>
      </c>
      <c r="J9" s="28"/>
      <c r="K9" s="1" t="s">
        <v>7</v>
      </c>
      <c r="L9" s="1"/>
      <c r="M9" s="1"/>
      <c r="N9" s="1"/>
      <c r="O9" s="1"/>
      <c r="P9" s="1"/>
      <c r="Q9" s="18"/>
      <c r="R9" s="1"/>
      <c r="S9" s="1"/>
      <c r="T9" s="1"/>
      <c r="U9" s="1"/>
      <c r="V9" s="1"/>
      <c r="W9" s="1"/>
      <c r="X9" s="1"/>
      <c r="Y9" s="1"/>
      <c r="Z9" s="1"/>
    </row>
    <row r="10" customFormat="false" ht="17" hidden="false" customHeight="tru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8" t="s">
        <v>9</v>
      </c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7" hidden="false" customHeight="true" outlineLevel="0" collapsed="false">
      <c r="A11" s="1"/>
      <c r="B11" s="1"/>
      <c r="C11" s="30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8"/>
      <c r="R11" s="19"/>
      <c r="S11" s="1"/>
      <c r="T11" s="1"/>
      <c r="U11" s="1"/>
      <c r="V11" s="1"/>
      <c r="W11" s="1"/>
      <c r="X11" s="1"/>
      <c r="Y11" s="1"/>
      <c r="Z11" s="1"/>
    </row>
    <row r="12" customFormat="false" ht="17" hidden="false" customHeight="true" outlineLevel="0" collapsed="false">
      <c r="A12" s="1"/>
      <c r="B12" s="1"/>
      <c r="C12" s="30"/>
      <c r="D12" s="1"/>
      <c r="E12" s="1"/>
      <c r="F12" s="31" t="str">
        <f aca="false">IF(MOD((MOD(J9-180,-360)+90)/2,90)=0," Ψ　±　90 ° の とき 、 θ　は  いっさい　はっき されません　", ". .")</f>
        <v>. .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8" t="s">
        <v>10</v>
      </c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7" hidden="false" customHeight="tru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customFormat="false" ht="17" hidden="false" customHeight="tru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8" t="s">
        <v>11</v>
      </c>
      <c r="S14" s="1"/>
      <c r="T14" s="1"/>
      <c r="U14" s="1"/>
      <c r="V14" s="1"/>
      <c r="W14" s="1"/>
      <c r="X14" s="1"/>
      <c r="Y14" s="1"/>
      <c r="Z14" s="1"/>
    </row>
    <row r="15" customFormat="false" ht="32.8" hidden="false" customHeight="true" outlineLevel="0" collapsed="false">
      <c r="A15" s="1"/>
      <c r="B15" s="1"/>
      <c r="C15" s="24"/>
      <c r="D15" s="32"/>
      <c r="E15" s="1"/>
      <c r="F15" s="1"/>
      <c r="G15" s="33" t="s">
        <v>12</v>
      </c>
      <c r="H15" s="34" t="str">
        <f aca="false">IF(OR((G9)="",(J9)=""),"- -",DEGREES( ACOS( COS(G1)  *  COS(J1))))</f>
        <v>- -</v>
      </c>
      <c r="I15" s="35" t="s">
        <v>13</v>
      </c>
      <c r="J15" s="36" t="s">
        <v>14</v>
      </c>
      <c r="K15" s="1"/>
      <c r="L15" s="1"/>
      <c r="M15" s="1"/>
      <c r="N15" s="1"/>
      <c r="O15" s="1"/>
      <c r="P15" s="1"/>
      <c r="Q15" s="1"/>
      <c r="R15" s="18"/>
      <c r="S15" s="1"/>
      <c r="T15" s="1"/>
      <c r="U15" s="1"/>
      <c r="V15" s="1"/>
      <c r="W15" s="1"/>
      <c r="X15" s="1"/>
      <c r="Y15" s="1"/>
      <c r="Z15" s="1"/>
    </row>
    <row r="16" customFormat="false" ht="17" hidden="false" customHeight="true" outlineLevel="0" collapsed="false">
      <c r="A16" s="37"/>
      <c r="B16" s="1"/>
      <c r="C16" s="1"/>
      <c r="D16" s="1"/>
      <c r="E16" s="1"/>
      <c r="F16" s="1"/>
      <c r="G16" s="1"/>
      <c r="H16" s="38" t="str">
        <f aca="false">IF((H15)="- -","",(H15)/DEGREES(1))</f>
        <v/>
      </c>
      <c r="I16" s="1"/>
      <c r="J16" s="1"/>
      <c r="K16" s="1"/>
      <c r="L16" s="1"/>
      <c r="M16" s="1"/>
      <c r="N16" s="1"/>
      <c r="O16" s="1"/>
      <c r="P16" s="1"/>
      <c r="Q16" s="1"/>
      <c r="R16" s="18" t="s">
        <v>15</v>
      </c>
      <c r="S16" s="1"/>
      <c r="T16" s="1"/>
      <c r="U16" s="1"/>
      <c r="V16" s="1"/>
      <c r="W16" s="1"/>
      <c r="X16" s="1"/>
      <c r="Y16" s="1"/>
      <c r="Z16" s="1"/>
    </row>
    <row r="17" customFormat="false" ht="32.9" hidden="false" customHeight="true" outlineLevel="0" collapsed="false">
      <c r="A17" s="1"/>
      <c r="B17" s="1"/>
      <c r="C17" s="1"/>
      <c r="D17" s="1"/>
      <c r="E17" s="1"/>
      <c r="F17" s="1"/>
      <c r="G17" s="33" t="s">
        <v>16</v>
      </c>
      <c r="H17" s="34" t="str">
        <f aca="false">IF(OR((G9)="",(J9)=""),"- -",COS(RADIANS(H15))*100)</f>
        <v>- -</v>
      </c>
      <c r="I17" s="35" t="s">
        <v>17</v>
      </c>
      <c r="J17" s="36" t="s">
        <v>14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customFormat="false" ht="17" hidden="false" customHeight="true" outlineLevel="0" collapsed="false">
      <c r="A18" s="1"/>
      <c r="B18" s="1"/>
      <c r="C18" s="39"/>
      <c r="D18" s="1"/>
      <c r="E18" s="1"/>
      <c r="F18" s="1"/>
      <c r="G18" s="1"/>
      <c r="H18" s="40"/>
      <c r="I18" s="1"/>
      <c r="J18" s="1"/>
      <c r="K18" s="1"/>
      <c r="L18" s="1"/>
      <c r="M18" s="1"/>
      <c r="N18" s="1"/>
      <c r="O18" s="1"/>
      <c r="P18" s="18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7" hidden="false" customHeight="true" outlineLevel="0" collapsed="false">
      <c r="A19" s="1"/>
      <c r="B19" s="1"/>
      <c r="C19" s="39"/>
      <c r="D19" s="1"/>
      <c r="E19" s="1"/>
      <c r="F19" s="1"/>
      <c r="G19" s="1"/>
      <c r="H19" s="40"/>
      <c r="I19" s="1"/>
      <c r="J19" s="1"/>
      <c r="K19" s="1"/>
      <c r="L19" s="1"/>
      <c r="M19" s="18"/>
      <c r="N19" s="1"/>
      <c r="O19" s="1"/>
      <c r="P19" s="18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7" hidden="false" customHeight="true" outlineLevel="0" collapsed="false">
      <c r="A20" s="1"/>
      <c r="B20" s="1"/>
      <c r="C20" s="1"/>
      <c r="D20" s="1"/>
      <c r="E20" s="1"/>
      <c r="F20" s="1"/>
      <c r="G20" s="1"/>
      <c r="H20" s="40"/>
      <c r="I20" s="1"/>
      <c r="J20" s="1"/>
      <c r="K20" s="1"/>
      <c r="L20" s="4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7" hidden="false" customHeight="true" outlineLevel="0" collapsed="false">
      <c r="A21" s="1"/>
      <c r="B21" s="1"/>
      <c r="C21" s="1"/>
      <c r="D21" s="1"/>
      <c r="E21" s="1"/>
      <c r="F21" s="1"/>
      <c r="G21" s="1"/>
      <c r="H21" s="4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7" hidden="false" customHeight="true" outlineLevel="0" collapsed="false">
      <c r="A22" s="1"/>
      <c r="B22" s="1"/>
      <c r="C22" s="1"/>
      <c r="D22" s="1"/>
      <c r="E22" s="1"/>
      <c r="F22" s="1"/>
      <c r="G22" s="1"/>
      <c r="H22" s="4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7" hidden="false" customHeight="true" outlineLevel="0" collapsed="false">
      <c r="A23" s="1"/>
      <c r="B23" s="1"/>
      <c r="C23" s="1"/>
      <c r="D23" s="1"/>
      <c r="E23" s="1"/>
      <c r="F23" s="1"/>
      <c r="G23" s="1"/>
      <c r="H23" s="4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7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25.25" hidden="false" customHeight="true" outlineLevel="0" collapsed="false">
      <c r="A25" s="1"/>
      <c r="B25" s="1"/>
      <c r="C25" s="1"/>
      <c r="D25" s="1"/>
      <c r="E25" s="42" t="s">
        <v>18</v>
      </c>
      <c r="F25" s="43"/>
      <c r="G25" s="43"/>
      <c r="H25" s="4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7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7" hidden="false" customHeight="tru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32.9" hidden="false" customHeight="true" outlineLevel="0" collapsed="false">
      <c r="A28" s="1"/>
      <c r="B28" s="1"/>
      <c r="C28" s="1"/>
      <c r="D28" s="44" t="s">
        <v>19</v>
      </c>
      <c r="E28" s="1"/>
      <c r="F28" s="45" t="s">
        <v>20</v>
      </c>
      <c r="G28" s="46" t="n">
        <f aca="false">COS(RADIANS(G9))*COS(RADIANS(J9))</f>
        <v>1</v>
      </c>
      <c r="H28" s="47" t="s">
        <v>21</v>
      </c>
      <c r="I28" s="46" t="n">
        <f aca="false">COS(RADIANS(J9))*SIN(RADIANS(G9))</f>
        <v>0</v>
      </c>
      <c r="J28" s="47" t="s">
        <v>22</v>
      </c>
      <c r="K28" s="46" t="n">
        <f aca="false">SIN(RADIANS(J9))</f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17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7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32.9" hidden="false" customHeight="true" outlineLevel="0" collapsed="false">
      <c r="A31" s="1"/>
      <c r="B31" s="1"/>
      <c r="C31" s="1"/>
      <c r="D31" s="48" t="s">
        <v>23</v>
      </c>
      <c r="E31" s="1"/>
      <c r="F31" s="1"/>
      <c r="G31" s="49" t="n">
        <f aca="false">SQRT((G28)^2+(K28)^2+(I28)^2)</f>
        <v>1</v>
      </c>
      <c r="H31" s="1"/>
      <c r="I31" s="50" t="n">
        <f aca="false">ROUNDDOWN((G2)+(J2),6)</f>
        <v>0</v>
      </c>
      <c r="J31" s="51" t="s">
        <v>24</v>
      </c>
      <c r="K31" s="1"/>
      <c r="L31" s="1"/>
      <c r="M31" s="1"/>
      <c r="N31" s="1"/>
      <c r="O31" s="52" t="s">
        <v>25</v>
      </c>
      <c r="P31" s="1"/>
      <c r="Q31" s="53" t="s">
        <v>26</v>
      </c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7" hidden="false" customHeight="true" outlineLevel="0" collapsed="false">
      <c r="A32" s="1"/>
      <c r="B32" s="1"/>
      <c r="C32" s="1"/>
      <c r="D32" s="1"/>
      <c r="E32" s="1"/>
      <c r="F32" s="1"/>
      <c r="G32" s="54" t="s">
        <v>27</v>
      </c>
      <c r="H32" s="1"/>
      <c r="I32" s="1"/>
      <c r="J32" s="1"/>
      <c r="K32" s="1"/>
      <c r="L32" s="53"/>
      <c r="M32" s="1"/>
      <c r="N32" s="1"/>
      <c r="O32" s="52" t="s">
        <v>28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7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52" t="s">
        <v>29</v>
      </c>
      <c r="P33" s="1"/>
      <c r="Q33" s="55" t="s">
        <v>30</v>
      </c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7" hidden="false" customHeight="true" outlineLevel="0" collapsed="false">
      <c r="A34" s="1"/>
      <c r="B34" s="1"/>
      <c r="C34" s="1"/>
      <c r="D34" s="1"/>
      <c r="E34" s="1"/>
      <c r="F34" s="1"/>
      <c r="G34" s="1"/>
      <c r="H34" s="40"/>
      <c r="I34" s="1"/>
      <c r="J34" s="1"/>
      <c r="K34" s="1"/>
      <c r="L34" s="5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7" hidden="false" customHeight="true" outlineLevel="0" collapsed="false">
      <c r="A35" s="1"/>
      <c r="B35" s="1"/>
      <c r="C35" s="1"/>
      <c r="D35" s="1"/>
      <c r="E35" s="1"/>
      <c r="F35" s="1"/>
      <c r="G35" s="56" t="s">
        <v>31</v>
      </c>
      <c r="H35" s="1"/>
      <c r="I35" s="1"/>
      <c r="J35" s="56" t="s">
        <v>32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32.9" hidden="false" customHeight="true" outlineLevel="0" collapsed="false">
      <c r="A36" s="1"/>
      <c r="B36" s="1"/>
      <c r="C36" s="1"/>
      <c r="D36" s="57" t="s">
        <v>33</v>
      </c>
      <c r="E36" s="1"/>
      <c r="F36" s="33" t="s">
        <v>34</v>
      </c>
      <c r="G36" s="58" t="n">
        <f aca="false">IF(AND(ROUND(G28,8)=0, ROUND(I28,8)=0),  0  ,     DEGREES(ATAN2((G28),(I28)))   )</f>
        <v>0</v>
      </c>
      <c r="H36" s="36" t="s">
        <v>13</v>
      </c>
      <c r="I36" s="33" t="s">
        <v>35</v>
      </c>
      <c r="J36" s="58" t="n">
        <f aca="false">DEGREES(ASIN(K28))</f>
        <v>0</v>
      </c>
      <c r="K36" s="59" t="s">
        <v>13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7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7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7" hidden="false" customHeight="true" outlineLevel="0" collapsed="false">
      <c r="A39" s="1"/>
      <c r="B39" s="1"/>
      <c r="C39" s="1"/>
      <c r="D39" s="1"/>
      <c r="E39" s="1"/>
      <c r="F39" s="1"/>
      <c r="G39" s="56" t="s">
        <v>31</v>
      </c>
      <c r="H39" s="1"/>
      <c r="I39" s="1"/>
      <c r="J39" s="56" t="s">
        <v>36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32.9" hidden="false" customHeight="true" outlineLevel="0" collapsed="false">
      <c r="A40" s="1"/>
      <c r="B40" s="1"/>
      <c r="C40" s="1"/>
      <c r="D40" s="57" t="s">
        <v>37</v>
      </c>
      <c r="E40" s="1"/>
      <c r="F40" s="33" t="s">
        <v>34</v>
      </c>
      <c r="G40" s="60" t="n">
        <f aca="false">IF(AND(ROUND(G28,8)=0, ROUND(I28,8)=0),  0  ,     DEGREES(ATAN2((G28),(I28)))   )</f>
        <v>0</v>
      </c>
      <c r="H40" s="36" t="s">
        <v>13</v>
      </c>
      <c r="I40" s="33" t="s">
        <v>38</v>
      </c>
      <c r="J40" s="60" t="n">
        <f aca="false">DEGREES(ACOS(K28))</f>
        <v>90</v>
      </c>
      <c r="K40" s="59" t="s">
        <v>13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7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7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17" hidden="false" customHeight="true" outlineLevel="0" collapsed="false">
      <c r="A43" s="1"/>
      <c r="B43" s="1"/>
      <c r="C43" s="1"/>
      <c r="D43" s="1"/>
      <c r="E43" s="1"/>
      <c r="F43" s="1"/>
      <c r="G43" s="56" t="s">
        <v>31</v>
      </c>
      <c r="H43" s="1"/>
      <c r="I43" s="1"/>
      <c r="J43" s="23" t="s">
        <v>39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customFormat="false" ht="32.9" hidden="false" customHeight="true" outlineLevel="0" collapsed="false">
      <c r="A44" s="1"/>
      <c r="B44" s="1"/>
      <c r="C44" s="1"/>
      <c r="D44" s="57" t="s">
        <v>40</v>
      </c>
      <c r="E44" s="1"/>
      <c r="F44" s="33" t="s">
        <v>34</v>
      </c>
      <c r="G44" s="61" t="n">
        <f aca="false">IF(AND(ROUND(G28,8)=0, ROUND(I28,8)=0),  0  ,     DEGREES(ATAN2((G28),(I28)))   )</f>
        <v>0</v>
      </c>
      <c r="H44" s="36" t="s">
        <v>13</v>
      </c>
      <c r="I44" s="33" t="s">
        <v>41</v>
      </c>
      <c r="J44" s="62" t="n">
        <f aca="false">IF((K28&lt;0),((J45)+0.000000000373),ROUND(SQRT((G28)^2+(I28)^2)*100,2))</f>
        <v>100</v>
      </c>
      <c r="K44" s="59" t="s">
        <v>42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17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63" t="n">
        <f aca="false">ROUND( SQRT((G28)^2+(I28)^2)*100 ,2)</f>
        <v>100</v>
      </c>
      <c r="K45" s="2" t="e">
        <f aca="false">(J44)+0.1^(LEN(J44)-FIND(".",J44)+4)*373</f>
        <v>#VALUE!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7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7" hidden="false" customHeight="true" outlineLevel="0" collapsed="false">
      <c r="A47" s="1"/>
      <c r="B47" s="1"/>
      <c r="C47" s="1"/>
      <c r="D47" s="1"/>
      <c r="E47" s="1"/>
      <c r="F47" s="1"/>
      <c r="G47" s="56" t="s">
        <v>31</v>
      </c>
      <c r="H47" s="1"/>
      <c r="I47" s="1"/>
      <c r="J47" s="23" t="s">
        <v>22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32.9" hidden="false" customHeight="true" outlineLevel="0" collapsed="false">
      <c r="A48" s="1"/>
      <c r="B48" s="1"/>
      <c r="C48" s="1"/>
      <c r="D48" s="57" t="s">
        <v>43</v>
      </c>
      <c r="E48" s="1"/>
      <c r="F48" s="33" t="s">
        <v>34</v>
      </c>
      <c r="G48" s="64" t="n">
        <f aca="false">IF(AND(ROUND(G28,8)=0, ROUND(I28,8)=0),  0  ,     DEGREES(ATAN2((G28),(I28)))   )</f>
        <v>0</v>
      </c>
      <c r="H48" s="36" t="s">
        <v>13</v>
      </c>
      <c r="I48" s="33" t="s">
        <v>44</v>
      </c>
      <c r="J48" s="65" t="n">
        <f aca="false">IF(AND(ROUND(G28,8)=0, ROUND(I28,8)=0),  TEXT(SIGN(K28)*10000,"0") ,     TAN(ASIN(K28))*100  )</f>
        <v>0</v>
      </c>
      <c r="K48" s="59" t="s">
        <v>45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7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7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customFormat="false" ht="17" hidden="false" customHeight="true" outlineLevel="0" collapsed="false">
      <c r="A51" s="1"/>
      <c r="B51" s="1"/>
      <c r="C51" s="1"/>
      <c r="D51" s="1"/>
      <c r="E51" s="1"/>
      <c r="F51" s="1"/>
      <c r="G51" s="56" t="s">
        <v>31</v>
      </c>
      <c r="H51" s="1"/>
      <c r="I51" s="1"/>
      <c r="J51" s="23" t="s">
        <v>46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32.9" hidden="false" customHeight="true" outlineLevel="0" collapsed="false">
      <c r="A52" s="1"/>
      <c r="B52" s="1"/>
      <c r="C52" s="1"/>
      <c r="D52" s="57" t="s">
        <v>47</v>
      </c>
      <c r="E52" s="1"/>
      <c r="F52" s="33" t="s">
        <v>34</v>
      </c>
      <c r="G52" s="66" t="n">
        <f aca="false">IF( (ROUND(I28,8)=0) ,0,   DEGREES(ATAN2((G28),(I28)))   )</f>
        <v>0</v>
      </c>
      <c r="H52" s="36" t="s">
        <v>13</v>
      </c>
      <c r="I52" s="33" t="s">
        <v>48</v>
      </c>
      <c r="J52" s="66" t="n">
        <f aca="false">IF( (ROUND(I28,8)=0) ,  DEGREES(ATAN2((G28),(K28))) ,  DEGREES(ATAN2((I28),(K28))) )</f>
        <v>0</v>
      </c>
      <c r="K52" s="59" t="s">
        <v>13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customFormat="false" ht="17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67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7" hidden="false" customHeight="true" outlineLevel="0" collapsed="false">
      <c r="A54" s="1"/>
      <c r="B54" s="1"/>
      <c r="C54" s="1"/>
      <c r="D54" s="1"/>
      <c r="E54" s="1"/>
      <c r="F54" s="1"/>
      <c r="G54" s="1"/>
      <c r="H54" s="6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customFormat="false" ht="17" hidden="false" customHeight="true" outlineLevel="0" collapsed="false">
      <c r="A55" s="1"/>
      <c r="B55" s="1"/>
      <c r="C55" s="1"/>
      <c r="D55" s="1"/>
      <c r="E55" s="1"/>
      <c r="F55" s="1"/>
      <c r="G55" s="56" t="s">
        <v>31</v>
      </c>
      <c r="H55" s="1"/>
      <c r="I55" s="1"/>
      <c r="J55" s="23" t="s">
        <v>49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32.9" hidden="false" customHeight="true" outlineLevel="0" collapsed="false">
      <c r="A56" s="1"/>
      <c r="B56" s="1"/>
      <c r="C56" s="1"/>
      <c r="D56" s="57" t="s">
        <v>50</v>
      </c>
      <c r="E56" s="1"/>
      <c r="F56" s="33" t="s">
        <v>34</v>
      </c>
      <c r="G56" s="69" t="n">
        <f aca="false">IF(AND(ROUND(G28,8)=0, ROUND(I28,8)=0),  0  ,  IF( (ROUND(G28,8)=0) , 90 ,  DEGREES(ATAN2((G28),(I28)))  ))</f>
        <v>0</v>
      </c>
      <c r="H56" s="36" t="s">
        <v>13</v>
      </c>
      <c r="I56" s="33" t="s">
        <v>51</v>
      </c>
      <c r="J56" s="69" t="n">
        <f aca="false">IF( (ROUND(G28,8)=0) , DEGREES(ATAN2((I28),(K28))) ,  DEGREES(ATAN2((G28),(K28)))  )</f>
        <v>0</v>
      </c>
      <c r="K56" s="59" t="s">
        <v>13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7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70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7" hidden="false" customHeight="true" outlineLevel="0" collapsed="false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7" hidden="false" customHeight="true" outlineLevel="0" collapsed="false">
      <c r="A59" s="1"/>
      <c r="B59" s="1"/>
      <c r="C59" s="1"/>
      <c r="D59" s="1"/>
      <c r="E59" s="1"/>
      <c r="F59" s="1"/>
      <c r="G59" s="23" t="s">
        <v>49</v>
      </c>
      <c r="H59" s="1"/>
      <c r="I59" s="1"/>
      <c r="J59" s="23" t="s">
        <v>46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32.9" hidden="false" customHeight="true" outlineLevel="0" collapsed="false">
      <c r="A60" s="1"/>
      <c r="B60" s="1"/>
      <c r="C60" s="1"/>
      <c r="D60" s="57" t="s">
        <v>52</v>
      </c>
      <c r="E60" s="1"/>
      <c r="F60" s="33" t="s">
        <v>53</v>
      </c>
      <c r="G60" s="71" t="n">
        <f aca="false">IF(   ROUND(I28,8)=1  ,     "ジンバルロック"     ,    ( IF( (K28=0) ,  0  ,   DEGREES(ATAN2((G28),(K28)))   )))</f>
        <v>0</v>
      </c>
      <c r="H60" s="36" t="s">
        <v>13</v>
      </c>
      <c r="I60" s="33" t="s">
        <v>48</v>
      </c>
      <c r="J60" s="71" t="n">
        <f aca="false">IF(  ROUND(K28,8)=0  ,   (MOD((-DEGREES(ATAN2((G28),(I28)))+90)-180,-360)+180)     ,  DEGREES(ATAN2((I28),(K28)))  )</f>
        <v>90</v>
      </c>
      <c r="K60" s="59" t="s">
        <v>13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customFormat="false" ht="17" hidden="false" customHeight="true" outlineLevel="0" collapsed="false">
      <c r="A61" s="1"/>
      <c r="B61" s="1"/>
      <c r="C61" s="1"/>
      <c r="D61" s="1"/>
      <c r="E61" s="1"/>
      <c r="F61" s="1"/>
      <c r="G61" s="70"/>
      <c r="H61" s="1"/>
      <c r="I61" s="1"/>
      <c r="J61" s="67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customFormat="false" ht="17" hidden="false" customHeight="true" outlineLevel="0" collapsed="false">
      <c r="A62" s="1"/>
      <c r="B62" s="1"/>
      <c r="C62" s="1"/>
      <c r="D62" s="1"/>
      <c r="E62" s="1"/>
      <c r="F62" s="1"/>
      <c r="G62" s="1"/>
      <c r="H62" s="7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customFormat="false" ht="17" hidden="false" customHeight="true" outlineLevel="0" collapsed="false">
      <c r="A63" s="1"/>
      <c r="B63" s="23" t="s">
        <v>54</v>
      </c>
      <c r="C63" s="1"/>
      <c r="D63" s="1"/>
      <c r="E63" s="1"/>
      <c r="F63" s="1"/>
      <c r="G63" s="23" t="s">
        <v>21</v>
      </c>
      <c r="H63" s="1"/>
      <c r="I63" s="1"/>
      <c r="J63" s="23" t="s">
        <v>22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customFormat="false" ht="32.9" hidden="false" customHeight="true" outlineLevel="0" collapsed="false">
      <c r="A64" s="33" t="s">
        <v>55</v>
      </c>
      <c r="B64" s="73" t="n">
        <f aca="false">IF(ROUND(G28,8)=0,0,100*SIGN(G28))</f>
        <v>100</v>
      </c>
      <c r="C64" s="1"/>
      <c r="D64" s="57" t="s">
        <v>56</v>
      </c>
      <c r="E64" s="1"/>
      <c r="F64" s="33" t="s">
        <v>57</v>
      </c>
      <c r="G64" s="74" t="n">
        <f aca="false">IF( ROUND(I28,8)=0, 0 ,  IF( ROUND(G28,8)=0,100*SIGN(I28)  ,    ABS((I28)/(G28)*100)*SIGN(I28)   ))</f>
        <v>0</v>
      </c>
      <c r="H64" s="1"/>
      <c r="I64" s="33" t="s">
        <v>58</v>
      </c>
      <c r="J64" s="74" t="n">
        <f aca="false">IF( ROUND(K28,8)=0, 0 ,  IF( ROUND(G28,8)=0,100*SIGN(K28) ,    ABS((K28)/(G28)*100)*SIGN(K28)   ))</f>
        <v>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customFormat="false" ht="17" hidden="false" customHeight="true" outlineLevel="0" collapsed="false">
      <c r="A65" s="1"/>
      <c r="B65" s="1"/>
      <c r="C65" s="1"/>
      <c r="D65" s="57"/>
      <c r="E65" s="1"/>
      <c r="F65" s="1"/>
      <c r="G65" s="70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customFormat="false" ht="17" hidden="false" customHeight="true" outlineLevel="0" collapsed="false">
      <c r="A66" s="1"/>
      <c r="B66" s="1"/>
      <c r="C66" s="1"/>
      <c r="D66" s="5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customFormat="false" ht="17" hidden="false" customHeight="true" outlineLevel="0" collapsed="false">
      <c r="A67" s="1"/>
      <c r="B67" s="1"/>
      <c r="C67" s="1"/>
      <c r="D67" s="57"/>
      <c r="E67" s="1"/>
      <c r="F67" s="1"/>
      <c r="G67" s="23" t="s">
        <v>59</v>
      </c>
      <c r="H67" s="1"/>
      <c r="I67" s="1"/>
      <c r="J67" s="23" t="s">
        <v>59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customFormat="false" ht="32.9" hidden="false" customHeight="true" outlineLevel="0" collapsed="false">
      <c r="A68" s="1"/>
      <c r="B68" s="1"/>
      <c r="C68" s="1"/>
      <c r="D68" s="57" t="s">
        <v>60</v>
      </c>
      <c r="E68" s="1"/>
      <c r="F68" s="33" t="s">
        <v>61</v>
      </c>
      <c r="G68" s="75" t="n">
        <f aca="false">ABS(DEGREES(ACOS((G28))))</f>
        <v>0</v>
      </c>
      <c r="H68" s="36" t="s">
        <v>13</v>
      </c>
      <c r="I68" s="33" t="s">
        <v>62</v>
      </c>
      <c r="J68" s="75" t="n">
        <f aca="false">IF(G28=-1,0,IF(-DEGREES(ATAN2((K28),(I28))) &lt;0 , 360-DEGREES(ATAN2((K28),(I28))), -DEGREES(ATAN2((K28),(I28)))))</f>
        <v>-0</v>
      </c>
      <c r="K68" s="36" t="s">
        <v>13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customFormat="false" ht="17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76" t="n">
        <f aca="false">(J68)/30</f>
        <v>-0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customFormat="false" ht="32.9" hidden="false" customHeight="true" outlineLevel="0" collapsed="false">
      <c r="A70" s="77"/>
      <c r="B70" s="1"/>
      <c r="C70" s="1"/>
      <c r="D70" s="78" t="s">
        <v>63</v>
      </c>
      <c r="E70" s="78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7" hidden="false" customHeight="true" outlineLevel="0" collapsed="false">
      <c r="A71" s="1"/>
      <c r="B71" s="1"/>
      <c r="C71" s="1"/>
      <c r="D71" s="1"/>
      <c r="E71" s="79"/>
      <c r="F71" s="80"/>
      <c r="G71" s="80"/>
      <c r="H71" s="80"/>
      <c r="I71" s="80"/>
      <c r="J71" s="80"/>
      <c r="K71" s="80"/>
      <c r="L71" s="80"/>
      <c r="M71" s="8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7" hidden="false" customHeight="true" outlineLevel="0" collapsed="false">
      <c r="A72" s="1"/>
      <c r="B72" s="1"/>
      <c r="C72" s="1"/>
      <c r="D72" s="1"/>
      <c r="E72" s="79"/>
      <c r="F72" s="82"/>
      <c r="G72" s="82"/>
      <c r="H72" s="82"/>
      <c r="I72" s="82"/>
      <c r="J72" s="82"/>
      <c r="K72" s="82"/>
      <c r="L72" s="82"/>
      <c r="M72" s="8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customFormat="false" ht="17" hidden="false" customHeight="true" outlineLevel="0" collapsed="false">
      <c r="A73" s="1"/>
      <c r="B73" s="1"/>
      <c r="C73" s="1"/>
      <c r="D73" s="1"/>
      <c r="E73" s="79"/>
      <c r="F73" s="82"/>
      <c r="G73" s="82"/>
      <c r="H73" s="82"/>
      <c r="I73" s="82"/>
      <c r="J73" s="82"/>
      <c r="K73" s="82"/>
      <c r="L73" s="82"/>
      <c r="M73" s="8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customFormat="false" ht="17" hidden="false" customHeight="true" outlineLevel="0" collapsed="false">
      <c r="A74" s="1"/>
      <c r="B74" s="1"/>
      <c r="C74" s="1"/>
      <c r="D74" s="1"/>
      <c r="E74" s="79"/>
      <c r="F74" s="82"/>
      <c r="G74" s="82"/>
      <c r="H74" s="82"/>
      <c r="I74" s="82"/>
      <c r="J74" s="82"/>
      <c r="K74" s="82"/>
      <c r="L74" s="82"/>
      <c r="M74" s="8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customFormat="false" ht="17" hidden="false" customHeight="true" outlineLevel="0" collapsed="false">
      <c r="A75" s="1"/>
      <c r="B75" s="1"/>
      <c r="C75" s="1"/>
      <c r="D75" s="1"/>
      <c r="E75" s="79"/>
      <c r="F75" s="82"/>
      <c r="G75" s="83"/>
      <c r="H75" s="83"/>
      <c r="I75" s="83"/>
      <c r="J75" s="83"/>
      <c r="K75" s="83"/>
      <c r="L75" s="83"/>
      <c r="M75" s="8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customFormat="false" ht="17" hidden="false" customHeight="true" outlineLevel="0" collapsed="false">
      <c r="A76" s="1"/>
      <c r="B76" s="1"/>
      <c r="C76" s="1"/>
      <c r="D76" s="1"/>
      <c r="E76" s="79"/>
      <c r="F76" s="82"/>
      <c r="G76" s="85"/>
      <c r="H76" s="85"/>
      <c r="I76" s="85"/>
      <c r="J76" s="85"/>
      <c r="K76" s="85"/>
      <c r="L76" s="85"/>
      <c r="M76" s="86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customFormat="false" ht="17" hidden="false" customHeight="true" outlineLevel="0" collapsed="false">
      <c r="A77" s="1"/>
      <c r="B77" s="1"/>
      <c r="C77" s="1"/>
      <c r="D77" s="1"/>
      <c r="E77" s="79"/>
      <c r="F77" s="82"/>
      <c r="G77" s="87"/>
      <c r="H77" s="87"/>
      <c r="I77" s="87"/>
      <c r="J77" s="87"/>
      <c r="K77" s="87"/>
      <c r="L77" s="87"/>
      <c r="M77" s="86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customFormat="false" ht="17" hidden="false" customHeight="true" outlineLevel="0" collapsed="false">
      <c r="A78" s="1"/>
      <c r="B78" s="1"/>
      <c r="C78" s="1"/>
      <c r="D78" s="1"/>
      <c r="E78" s="79"/>
      <c r="F78" s="82"/>
      <c r="G78" s="88"/>
      <c r="H78" s="88"/>
      <c r="I78" s="88"/>
      <c r="J78" s="88"/>
      <c r="K78" s="88"/>
      <c r="L78" s="88"/>
      <c r="M78" s="8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customFormat="false" ht="17" hidden="false" customHeight="true" outlineLevel="0" collapsed="false">
      <c r="A79" s="1"/>
      <c r="B79" s="1"/>
      <c r="C79" s="1"/>
      <c r="D79" s="1"/>
      <c r="E79" s="90"/>
      <c r="F79" s="83"/>
      <c r="G79" s="83"/>
      <c r="H79" s="83"/>
      <c r="I79" s="83"/>
      <c r="J79" s="83"/>
      <c r="K79" s="83"/>
      <c r="L79" s="83"/>
      <c r="M79" s="84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customFormat="false" ht="17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86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customFormat="false" ht="17" hidden="false" customHeight="true" outlineLevel="0" collapsed="false">
      <c r="A81" s="1"/>
      <c r="B81" s="1"/>
      <c r="C81" s="1"/>
      <c r="D81" s="1"/>
      <c r="E81" s="1"/>
      <c r="F81" s="1"/>
      <c r="G81" s="86"/>
      <c r="H81" s="86"/>
      <c r="I81" s="86"/>
      <c r="J81" s="86"/>
      <c r="K81" s="86"/>
      <c r="L81" s="86"/>
      <c r="M81" s="86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customFormat="false" ht="17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customFormat="false" ht="17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customFormat="false" ht="17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6" customFormat="false" ht="17" hidden="false" customHeight="true" outlineLevel="0" collapsed="false">
      <c r="E86" s="91"/>
    </row>
    <row r="89" customFormat="false" ht="17" hidden="false" customHeight="true" outlineLevel="0" collapsed="false">
      <c r="E89" s="91"/>
    </row>
    <row r="90" customFormat="false" ht="17" hidden="false" customHeight="true" outlineLevel="0" collapsed="false">
      <c r="F90" s="92"/>
      <c r="H90" s="92"/>
      <c r="J90" s="92"/>
      <c r="L90" s="92"/>
    </row>
    <row r="91" customFormat="false" ht="17" hidden="false" customHeight="true" outlineLevel="0" collapsed="false"/>
    <row r="92" customFormat="false" ht="17" hidden="false" customHeight="true" outlineLevel="0" collapsed="false">
      <c r="F92" s="92"/>
      <c r="H92" s="92"/>
      <c r="J92" s="92"/>
      <c r="L92" s="92"/>
    </row>
    <row r="93" customFormat="false" ht="17" hidden="false" customHeight="true" outlineLevel="0" collapsed="false">
      <c r="A93" s="0" t="s">
        <v>64</v>
      </c>
    </row>
    <row r="94" customFormat="false" ht="17" hidden="false" customHeight="true" outlineLevel="0" collapsed="false">
      <c r="A94" s="0" t="s">
        <v>65</v>
      </c>
    </row>
    <row r="95" customFormat="false" ht="17" hidden="false" customHeight="true" outlineLevel="0" collapsed="false">
      <c r="A95" s="0" t="s">
        <v>66</v>
      </c>
    </row>
    <row r="96" customFormat="false" ht="17" hidden="false" customHeight="true" outlineLevel="0" collapsed="false">
      <c r="A96" s="0" t="s">
        <v>67</v>
      </c>
    </row>
    <row r="97" customFormat="false" ht="17" hidden="false" customHeight="true" outlineLevel="0" collapsed="false"/>
    <row r="98" customFormat="false" ht="17" hidden="false" customHeight="true" outlineLevel="0" collapsed="false"/>
    <row r="99" customFormat="false" ht="17" hidden="false" customHeight="true" outlineLevel="0" collapsed="false"/>
    <row r="100" customFormat="false" ht="17" hidden="false" customHeight="true" outlineLevel="0" collapsed="false"/>
    <row r="101" customFormat="false" ht="17" hidden="false" customHeight="true" outlineLevel="0" collapsed="false"/>
    <row r="102" customFormat="false" ht="17" hidden="false" customHeight="true" outlineLevel="0" collapsed="false"/>
    <row r="103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D1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11.70312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3.8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93"/>
      <c r="B1" s="1"/>
      <c r="C1" s="1"/>
      <c r="D1" s="1"/>
      <c r="E1" s="1"/>
      <c r="F1" s="30"/>
      <c r="G1" s="3" t="n">
        <f aca="false">RADIANS(MOD(G7-180,-360)+180)</f>
        <v>0</v>
      </c>
      <c r="H1" s="3"/>
      <c r="I1" s="3"/>
      <c r="J1" s="3" t="n">
        <f aca="false">RADIANS(MOD(J7-180,-360)+180)</f>
        <v>0</v>
      </c>
      <c r="K1" s="1"/>
      <c r="L1" s="1"/>
      <c r="M1" s="1"/>
      <c r="N1" s="1"/>
      <c r="O1" s="1"/>
      <c r="P1" s="1"/>
      <c r="Q1" s="1"/>
      <c r="R1" s="1"/>
      <c r="S1" s="94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7" hidden="false" customHeight="true" outlineLevel="0" collapsed="false">
      <c r="A2" s="1"/>
      <c r="B2" s="1"/>
      <c r="C2" s="95" t="s">
        <v>68</v>
      </c>
      <c r="D2" s="1"/>
      <c r="E2" s="1"/>
      <c r="F2" s="96" t="s">
        <v>69</v>
      </c>
      <c r="G2" s="97" t="n">
        <f aca="false">MOD(G7-180,-360)+180</f>
        <v>0</v>
      </c>
      <c r="H2" s="97"/>
      <c r="I2" s="97"/>
      <c r="J2" s="97" t="n">
        <f aca="false">MOD(J7-180,-360)+180</f>
        <v>0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customFormat="false" ht="25.35" hidden="false" customHeight="true" outlineLevel="0" collapsed="false">
      <c r="A3" s="1"/>
      <c r="B3" s="1"/>
      <c r="C3" s="1"/>
      <c r="D3" s="1"/>
      <c r="E3" s="1"/>
      <c r="F3" s="98"/>
      <c r="G3" s="99" t="s">
        <v>70</v>
      </c>
      <c r="H3" s="100"/>
      <c r="I3" s="100"/>
      <c r="J3" s="100"/>
      <c r="K3" s="100"/>
      <c r="L3" s="101"/>
      <c r="M3" s="1"/>
      <c r="N3" s="1" t="s">
        <v>71</v>
      </c>
      <c r="O3" s="37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customFormat="false" ht="17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7"/>
      <c r="P4" s="1"/>
      <c r="Q4" s="1"/>
      <c r="R4" s="1"/>
      <c r="S4" s="1"/>
      <c r="T4" s="102"/>
      <c r="U4" s="103"/>
      <c r="V4" s="1"/>
      <c r="W4" s="1"/>
      <c r="X4" s="1"/>
      <c r="Y4" s="1"/>
      <c r="Z4" s="1"/>
      <c r="AA4" s="1"/>
      <c r="AB4" s="1"/>
      <c r="AC4" s="1"/>
      <c r="AD4" s="1"/>
    </row>
    <row r="5" customFormat="false" ht="17" hidden="false" customHeight="true" outlineLevel="0" collapsed="false">
      <c r="A5" s="1"/>
      <c r="B5" s="1"/>
      <c r="C5" s="1"/>
      <c r="D5" s="1"/>
      <c r="E5" s="1"/>
      <c r="F5" s="1"/>
      <c r="G5" s="23" t="s">
        <v>4</v>
      </c>
      <c r="H5" s="1"/>
      <c r="I5" s="22"/>
      <c r="J5" s="23" t="s">
        <v>5</v>
      </c>
      <c r="K5" s="1"/>
      <c r="L5" s="1"/>
      <c r="M5" s="1"/>
      <c r="N5" s="104" t="s">
        <v>72</v>
      </c>
      <c r="O5" s="105" t="s">
        <v>73</v>
      </c>
      <c r="P5" s="106" t="s">
        <v>74</v>
      </c>
      <c r="Q5" s="107" t="s">
        <v>75</v>
      </c>
      <c r="R5" s="1"/>
      <c r="S5" s="108" t="s">
        <v>76</v>
      </c>
      <c r="T5" s="108" t="s">
        <v>77</v>
      </c>
      <c r="U5" s="1"/>
      <c r="V5" s="1"/>
      <c r="W5" s="1"/>
      <c r="X5" s="1"/>
      <c r="Y5" s="1"/>
      <c r="Z5" s="1"/>
      <c r="AA5" s="1"/>
      <c r="AB5" s="1"/>
      <c r="AC5" s="1"/>
      <c r="AD5" s="1"/>
    </row>
    <row r="6" customFormat="false" ht="17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09" t="s">
        <v>78</v>
      </c>
      <c r="O6" s="110" t="s">
        <v>79</v>
      </c>
      <c r="P6" s="111" t="s">
        <v>80</v>
      </c>
      <c r="Q6" s="112" t="s">
        <v>81</v>
      </c>
      <c r="R6" s="1"/>
      <c r="S6" s="108" t="s">
        <v>82</v>
      </c>
      <c r="T6" s="108" t="s">
        <v>83</v>
      </c>
      <c r="U6" s="1"/>
      <c r="V6" s="1"/>
      <c r="W6" s="1"/>
      <c r="X6" s="1"/>
      <c r="Y6" s="1"/>
      <c r="Z6" s="1"/>
      <c r="AA6" s="1"/>
      <c r="AB6" s="1"/>
      <c r="AC6" s="1"/>
      <c r="AD6" s="1"/>
    </row>
    <row r="7" customFormat="false" ht="37.4" hidden="false" customHeight="true" outlineLevel="0" collapsed="false">
      <c r="A7" s="1"/>
      <c r="B7" s="113"/>
      <c r="C7" s="1"/>
      <c r="D7" s="1"/>
      <c r="E7" s="1"/>
      <c r="F7" s="114" t="s">
        <v>84</v>
      </c>
      <c r="G7" s="28"/>
      <c r="H7" s="1" t="s">
        <v>7</v>
      </c>
      <c r="I7" s="115" t="s">
        <v>85</v>
      </c>
      <c r="J7" s="28"/>
      <c r="K7" s="1" t="s">
        <v>7</v>
      </c>
      <c r="L7" s="1"/>
      <c r="M7" s="1"/>
      <c r="N7" s="18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8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customFormat="false" ht="17" hidden="false" customHeight="true" outlineLevel="0" collapsed="false">
      <c r="A9" s="1"/>
      <c r="B9" s="1"/>
      <c r="C9" s="1"/>
      <c r="D9" s="1"/>
      <c r="E9" s="1"/>
      <c r="F9" s="1"/>
      <c r="G9" s="31"/>
      <c r="H9" s="1"/>
      <c r="I9" s="1"/>
      <c r="J9" s="1"/>
      <c r="K9" s="1"/>
      <c r="L9" s="1"/>
      <c r="M9" s="1"/>
      <c r="N9" s="18"/>
      <c r="O9" s="1"/>
      <c r="P9" s="1"/>
      <c r="Q9" s="1"/>
      <c r="R9" s="1"/>
      <c r="S9" s="1"/>
      <c r="T9" s="1"/>
      <c r="U9" s="1"/>
      <c r="V9" s="1"/>
      <c r="W9" s="1"/>
      <c r="X9" s="103"/>
      <c r="Y9" s="1"/>
      <c r="Z9" s="1"/>
      <c r="AA9" s="1"/>
      <c r="AB9" s="103"/>
      <c r="AC9" s="1"/>
      <c r="AD9" s="1"/>
    </row>
    <row r="10" customFormat="false" ht="17" hidden="false" customHeight="true" outlineLevel="0" collapsed="false">
      <c r="A10" s="1"/>
      <c r="B10" s="39"/>
      <c r="C10" s="1"/>
      <c r="D10" s="1"/>
      <c r="E10" s="1"/>
      <c r="F10" s="31" t="str">
        <f aca="false">IF(MOD((MOD(J7-180,-360)+90)/2,90)=0," Ψ　±　90 ° の とき 、 θ　は  いっさい　はっき されません　", ". .")</f>
        <v>. .</v>
      </c>
      <c r="G10" s="31"/>
      <c r="H10" s="1"/>
      <c r="I10" s="1"/>
      <c r="J10" s="1"/>
      <c r="K10" s="1"/>
      <c r="L10" s="1"/>
      <c r="M10" s="1"/>
      <c r="N10" s="18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customFormat="false" ht="17" hidden="false" customHeight="true" outlineLevel="0" collapsed="false">
      <c r="A11" s="1"/>
      <c r="B11" s="39"/>
      <c r="C11" s="1"/>
      <c r="D11" s="1"/>
      <c r="E11" s="1"/>
      <c r="F11" s="31"/>
      <c r="G11" s="1"/>
      <c r="H11" s="1"/>
      <c r="I11" s="1"/>
      <c r="J11" s="1"/>
      <c r="K11" s="1"/>
      <c r="L11" s="1"/>
      <c r="M11" s="1"/>
      <c r="N11" s="18"/>
      <c r="O11" s="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customFormat="false" ht="17" hidden="false" customHeight="true" outlineLevel="0" collapsed="false">
      <c r="A12" s="1"/>
      <c r="B12" s="39"/>
      <c r="C12" s="1"/>
      <c r="D12" s="1"/>
      <c r="E12" s="72"/>
      <c r="F12" s="31"/>
      <c r="G12" s="1"/>
      <c r="H12" s="1"/>
      <c r="I12" s="1"/>
      <c r="J12" s="1"/>
      <c r="K12" s="1"/>
      <c r="L12" s="1"/>
      <c r="M12" s="116"/>
      <c r="N12" s="1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customFormat="false" ht="17" hidden="false" customHeight="true" outlineLevel="0" collapsed="false">
      <c r="A13" s="1"/>
      <c r="B13" s="39"/>
      <c r="C13" s="1"/>
      <c r="D13" s="1"/>
      <c r="E13" s="72"/>
      <c r="F13" s="1"/>
      <c r="G13" s="117"/>
      <c r="H13" s="1"/>
      <c r="I13" s="1"/>
      <c r="J13" s="1"/>
      <c r="K13" s="1"/>
      <c r="L13" s="1"/>
      <c r="M13" s="118" t="s">
        <v>86</v>
      </c>
      <c r="N13" s="18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customFormat="false" ht="17" hidden="false" customHeight="true" outlineLevel="0" collapsed="false">
      <c r="A14" s="52" t="s">
        <v>87</v>
      </c>
      <c r="B14" s="1"/>
      <c r="C14" s="1"/>
      <c r="D14" s="1"/>
      <c r="E14" s="1"/>
      <c r="F14" s="1"/>
      <c r="G14" s="119"/>
      <c r="H14" s="119"/>
      <c r="I14" s="119"/>
      <c r="J14" s="119"/>
      <c r="K14" s="1"/>
      <c r="L14" s="1"/>
      <c r="M14" s="108" t="s">
        <v>76</v>
      </c>
      <c r="N14" s="18"/>
      <c r="O14" s="18"/>
      <c r="P14" s="1"/>
      <c r="Q14" s="1"/>
      <c r="R14" s="1"/>
      <c r="S14" s="120"/>
      <c r="T14" s="37"/>
      <c r="U14" s="37"/>
      <c r="V14" s="119" t="s">
        <v>88</v>
      </c>
      <c r="W14" s="37"/>
      <c r="X14" s="1"/>
      <c r="Y14" s="1"/>
      <c r="Z14" s="1"/>
      <c r="AA14" s="1"/>
      <c r="AB14" s="1"/>
      <c r="AC14" s="1"/>
      <c r="AD14" s="1"/>
    </row>
    <row r="15" customFormat="false" ht="32.8" hidden="false" customHeight="true" outlineLevel="0" collapsed="false">
      <c r="A15" s="19"/>
      <c r="B15" s="1"/>
      <c r="C15" s="1"/>
      <c r="D15" s="1"/>
      <c r="E15" s="121"/>
      <c r="F15" s="1"/>
      <c r="G15" s="33" t="s">
        <v>89</v>
      </c>
      <c r="H15" s="122" t="str">
        <f aca="false">IF(OR((G7)="",(J7)=""),"- -",DEGREES( ACOS( COS(しーた)  *  COS(ぷさい))))</f>
        <v>- -</v>
      </c>
      <c r="I15" s="123" t="s">
        <v>13</v>
      </c>
      <c r="J15" s="36" t="s">
        <v>14</v>
      </c>
      <c r="K15" s="1"/>
      <c r="L15" s="1"/>
      <c r="M15" s="36" t="s">
        <v>90</v>
      </c>
      <c r="N15" s="1"/>
      <c r="O15" s="1"/>
      <c r="P15" s="1"/>
      <c r="Q15" s="1"/>
      <c r="R15" s="1"/>
      <c r="S15" s="36" t="s">
        <v>91</v>
      </c>
      <c r="T15" s="37"/>
      <c r="U15" s="37"/>
      <c r="V15" s="37"/>
      <c r="W15" s="37"/>
      <c r="X15" s="1"/>
      <c r="Y15" s="1"/>
      <c r="Z15" s="1"/>
      <c r="AA15" s="1"/>
      <c r="AB15" s="1"/>
      <c r="AC15" s="1"/>
      <c r="AD15" s="1"/>
    </row>
    <row r="16" customFormat="false" ht="17" hidden="false" customHeight="true" outlineLevel="0" collapsed="false">
      <c r="A16" s="19"/>
      <c r="B16" s="1"/>
      <c r="C16" s="1"/>
      <c r="D16" s="1"/>
      <c r="E16" s="1"/>
      <c r="F16" s="1"/>
      <c r="G16" s="119"/>
      <c r="H16" s="119"/>
      <c r="I16" s="124"/>
      <c r="J16" s="124"/>
      <c r="K16" s="1"/>
      <c r="L16" s="1"/>
      <c r="M16" s="31"/>
      <c r="N16" s="1"/>
      <c r="O16" s="18"/>
      <c r="P16" s="18"/>
      <c r="Q16" s="1"/>
      <c r="R16" s="1"/>
      <c r="S16" s="37"/>
      <c r="T16" s="37"/>
      <c r="U16" s="37"/>
      <c r="V16" s="37"/>
      <c r="W16" s="37"/>
      <c r="X16" s="1"/>
      <c r="Y16" s="1"/>
      <c r="Z16" s="1"/>
      <c r="AA16" s="1"/>
      <c r="AB16" s="1"/>
      <c r="AC16" s="1"/>
      <c r="AD16" s="1"/>
    </row>
    <row r="17" customFormat="false" ht="17" hidden="false" customHeight="true" outlineLevel="0" collapsed="false">
      <c r="A17" s="52" t="s">
        <v>92</v>
      </c>
      <c r="B17" s="1"/>
      <c r="C17" s="1"/>
      <c r="D17" s="1"/>
      <c r="E17" s="1"/>
      <c r="F17" s="1"/>
      <c r="G17" s="119"/>
      <c r="H17" s="119"/>
      <c r="I17" s="124"/>
      <c r="J17" s="124"/>
      <c r="K17" s="1"/>
      <c r="L17" s="1"/>
      <c r="M17" s="108" t="s">
        <v>82</v>
      </c>
      <c r="N17" s="1"/>
      <c r="O17" s="1"/>
      <c r="P17" s="1"/>
      <c r="Q17" s="1"/>
      <c r="R17" s="1"/>
      <c r="S17" s="120"/>
      <c r="T17" s="37"/>
      <c r="U17" s="37"/>
      <c r="V17" s="119" t="s">
        <v>88</v>
      </c>
      <c r="W17" s="37"/>
      <c r="X17" s="1"/>
      <c r="Y17" s="1"/>
      <c r="Z17" s="1"/>
      <c r="AA17" s="1"/>
      <c r="AB17" s="1"/>
      <c r="AC17" s="1"/>
      <c r="AD17" s="1"/>
    </row>
    <row r="18" customFormat="false" ht="37.4" hidden="false" customHeight="true" outlineLevel="0" collapsed="false">
      <c r="A18" s="19"/>
      <c r="B18" s="1"/>
      <c r="C18" s="1"/>
      <c r="D18" s="1"/>
      <c r="E18" s="1"/>
      <c r="F18" s="1"/>
      <c r="G18" s="33" t="s">
        <v>93</v>
      </c>
      <c r="H18" s="125" t="n">
        <f aca="false">DEGREES( ACOS( COS( RADIANS(シータ))  *  COS( RADIANS(プサイ))))</f>
        <v>0</v>
      </c>
      <c r="I18" s="123" t="s">
        <v>13</v>
      </c>
      <c r="J18" s="36" t="s">
        <v>14</v>
      </c>
      <c r="K18" s="1"/>
      <c r="L18" s="1"/>
      <c r="M18" s="36" t="s">
        <v>94</v>
      </c>
      <c r="N18" s="1"/>
      <c r="O18" s="1"/>
      <c r="P18" s="18"/>
      <c r="Q18" s="1"/>
      <c r="R18" s="1"/>
      <c r="S18" s="36" t="s">
        <v>95</v>
      </c>
      <c r="T18" s="37"/>
      <c r="U18" s="37"/>
      <c r="V18" s="37"/>
      <c r="W18" s="37"/>
      <c r="X18" s="1"/>
      <c r="Y18" s="1"/>
      <c r="Z18" s="1"/>
      <c r="AA18" s="1"/>
      <c r="AB18" s="1"/>
      <c r="AC18" s="1"/>
      <c r="AD18" s="1"/>
    </row>
    <row r="19" customFormat="false" ht="17" hidden="false" customHeight="true" outlineLevel="0" collapsed="false">
      <c r="A19" s="19"/>
      <c r="B19" s="1"/>
      <c r="C19" s="1"/>
      <c r="D19" s="1"/>
      <c r="E19" s="1"/>
      <c r="F19" s="1"/>
      <c r="G19" s="126"/>
      <c r="H19" s="126"/>
      <c r="I19" s="126"/>
      <c r="J19" s="119"/>
      <c r="K19" s="1"/>
      <c r="L19" s="1"/>
      <c r="M19" s="1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customFormat="false" ht="17" hidden="false" customHeight="true" outlineLevel="0" collapsed="false">
      <c r="A20" s="52" t="s">
        <v>96</v>
      </c>
      <c r="B20" s="1"/>
      <c r="C20" s="1"/>
      <c r="D20" s="1"/>
      <c r="E20" s="1"/>
      <c r="F20" s="1"/>
      <c r="G20" s="119"/>
      <c r="H20" s="127"/>
      <c r="I20" s="127"/>
      <c r="J20" s="127"/>
      <c r="K20" s="1"/>
      <c r="L20" s="41"/>
      <c r="M20" s="108" t="s">
        <v>77</v>
      </c>
      <c r="N20" s="1"/>
      <c r="O20" s="1"/>
      <c r="P20" s="1"/>
      <c r="Q20" s="1"/>
      <c r="R20" s="1"/>
      <c r="S20" s="119" t="s">
        <v>97</v>
      </c>
      <c r="T20" s="1"/>
      <c r="U20" s="1"/>
      <c r="V20" s="119" t="s">
        <v>88</v>
      </c>
      <c r="W20" s="1"/>
      <c r="X20" s="1"/>
      <c r="Y20" s="1"/>
      <c r="Z20" s="1"/>
      <c r="AA20" s="1"/>
      <c r="AB20" s="1"/>
      <c r="AC20" s="1"/>
      <c r="AD20" s="1"/>
    </row>
    <row r="21" customFormat="false" ht="37.4" hidden="false" customHeight="true" outlineLevel="0" collapsed="false">
      <c r="A21" s="19"/>
      <c r="B21" s="1"/>
      <c r="C21" s="1"/>
      <c r="D21" s="1"/>
      <c r="E21" s="1"/>
      <c r="F21" s="1"/>
      <c r="G21" s="33" t="s">
        <v>98</v>
      </c>
      <c r="H21" s="122" t="n">
        <f aca="false">DEGREES( ACOS( COS(シータ/57.3)  *  COS(プサイ/57.3)))</f>
        <v>0</v>
      </c>
      <c r="I21" s="123" t="s">
        <v>13</v>
      </c>
      <c r="J21" s="36" t="s">
        <v>14</v>
      </c>
      <c r="K21" s="1"/>
      <c r="L21" s="1"/>
      <c r="M21" s="103" t="s">
        <v>99</v>
      </c>
      <c r="N21" s="1"/>
      <c r="O21" s="1"/>
      <c r="P21" s="1"/>
      <c r="Q21" s="1"/>
      <c r="R21" s="1"/>
      <c r="S21" s="103" t="s">
        <v>100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customFormat="false" ht="17" hidden="false" customHeight="true" outlineLevel="0" collapsed="false">
      <c r="A22" s="19"/>
      <c r="B22" s="1"/>
      <c r="C22" s="1"/>
      <c r="D22" s="1"/>
      <c r="E22" s="72"/>
      <c r="F22" s="1"/>
      <c r="G22" s="119"/>
      <c r="H22" s="119"/>
      <c r="I22" s="119"/>
      <c r="J22" s="119"/>
      <c r="K22" s="1"/>
      <c r="L22" s="1"/>
      <c r="M22" s="1"/>
      <c r="N22" s="18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customFormat="false" ht="17" hidden="false" customHeight="true" outlineLevel="0" collapsed="false">
      <c r="A23" s="19" t="s">
        <v>101</v>
      </c>
      <c r="B23" s="1"/>
      <c r="C23" s="1"/>
      <c r="D23" s="1"/>
      <c r="E23" s="1"/>
      <c r="F23" s="1"/>
      <c r="G23" s="119"/>
      <c r="H23" s="119"/>
      <c r="I23" s="119"/>
      <c r="J23" s="119"/>
      <c r="K23" s="1"/>
      <c r="L23" s="1"/>
      <c r="M23" s="108" t="s">
        <v>83</v>
      </c>
      <c r="N23" s="119" t="s">
        <v>102</v>
      </c>
      <c r="O23" s="1"/>
      <c r="P23" s="1"/>
      <c r="Q23" s="1"/>
      <c r="R23" s="1"/>
      <c r="S23" s="1"/>
      <c r="T23" s="1"/>
      <c r="U23" s="1"/>
      <c r="V23" s="119" t="s">
        <v>88</v>
      </c>
      <c r="W23" s="1"/>
      <c r="X23" s="1"/>
      <c r="Y23" s="1"/>
      <c r="Z23" s="1"/>
      <c r="AA23" s="1"/>
      <c r="AB23" s="1"/>
      <c r="AC23" s="1"/>
      <c r="AD23" s="1"/>
    </row>
    <row r="24" customFormat="false" ht="37.4" hidden="false" customHeight="true" outlineLevel="0" collapsed="false">
      <c r="A24" s="19"/>
      <c r="B24" s="1"/>
      <c r="C24" s="1"/>
      <c r="D24" s="1"/>
      <c r="E24" s="1"/>
      <c r="F24" s="1"/>
      <c r="G24" s="33" t="s">
        <v>103</v>
      </c>
      <c r="H24" s="122" t="n">
        <f aca="false">DEGREES( ACOS( COS(シータ/(15*12)*PI())  *  COS(プサイ/(15*12)*PI())))</f>
        <v>0</v>
      </c>
      <c r="I24" s="123" t="s">
        <v>13</v>
      </c>
      <c r="J24" s="36" t="s">
        <v>14</v>
      </c>
      <c r="K24" s="1"/>
      <c r="L24" s="1"/>
      <c r="M24" s="103" t="s">
        <v>104</v>
      </c>
      <c r="N24" s="1"/>
      <c r="O24" s="1"/>
      <c r="P24" s="1"/>
      <c r="Q24" s="1"/>
      <c r="R24" s="1"/>
      <c r="S24" s="103" t="s">
        <v>105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customFormat="false" ht="17" hidden="false" customHeight="true" outlineLevel="0" collapsed="false">
      <c r="A25" s="19"/>
      <c r="B25" s="1"/>
      <c r="C25" s="1"/>
      <c r="D25" s="1"/>
      <c r="E25" s="1"/>
      <c r="F25" s="1"/>
      <c r="G25" s="128"/>
      <c r="H25" s="128"/>
      <c r="I25" s="119"/>
      <c r="J25" s="119"/>
      <c r="K25" s="1"/>
      <c r="L25" s="1"/>
      <c r="M25" s="1"/>
      <c r="N25" s="1"/>
      <c r="O25" s="1"/>
      <c r="P25" s="1"/>
      <c r="Q25" s="102"/>
      <c r="R25" s="129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customFormat="false" ht="17" hidden="false" customHeight="true" outlineLevel="0" collapsed="false">
      <c r="A26" s="19" t="s">
        <v>101</v>
      </c>
      <c r="B26" s="1"/>
      <c r="C26" s="1"/>
      <c r="D26" s="1"/>
      <c r="E26" s="1"/>
      <c r="F26" s="1"/>
      <c r="G26" s="128"/>
      <c r="H26" s="128"/>
      <c r="I26" s="119"/>
      <c r="J26" s="119"/>
      <c r="K26" s="1"/>
      <c r="L26" s="1"/>
      <c r="M26" s="108" t="s">
        <v>74</v>
      </c>
      <c r="N26" s="119" t="s">
        <v>106</v>
      </c>
      <c r="O26" s="1"/>
      <c r="P26" s="1"/>
      <c r="Q26" s="102"/>
      <c r="R26" s="129"/>
      <c r="S26" s="1"/>
      <c r="T26" s="1"/>
      <c r="U26" s="1"/>
      <c r="V26" s="119" t="s">
        <v>88</v>
      </c>
      <c r="W26" s="1"/>
      <c r="X26" s="1"/>
      <c r="Y26" s="1"/>
      <c r="Z26" s="1"/>
      <c r="AA26" s="1"/>
      <c r="AB26" s="1"/>
      <c r="AC26" s="1"/>
      <c r="AD26" s="1"/>
    </row>
    <row r="27" customFormat="false" ht="37.4" hidden="false" customHeight="true" outlineLevel="0" collapsed="false">
      <c r="A27" s="19"/>
      <c r="B27" s="1"/>
      <c r="C27" s="1"/>
      <c r="D27" s="1"/>
      <c r="E27" s="1"/>
      <c r="F27" s="1"/>
      <c r="G27" s="33" t="s">
        <v>107</v>
      </c>
      <c r="H27" s="122" t="n">
        <f aca="false">DEGREES( ACOS( COS(しーた)  *  COS(ぷさい)))</f>
        <v>0</v>
      </c>
      <c r="I27" s="123" t="s">
        <v>13</v>
      </c>
      <c r="J27" s="36" t="s">
        <v>14</v>
      </c>
      <c r="K27" s="1"/>
      <c r="L27" s="1"/>
      <c r="M27" s="103" t="s">
        <v>108</v>
      </c>
      <c r="N27" s="1"/>
      <c r="O27" s="1"/>
      <c r="P27" s="1"/>
      <c r="Q27" s="102"/>
      <c r="R27" s="129"/>
      <c r="S27" s="103" t="s">
        <v>109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customFormat="false" ht="17" hidden="false" customHeight="true" outlineLevel="0" collapsed="false">
      <c r="A28" s="19"/>
      <c r="B28" s="1"/>
      <c r="C28" s="1"/>
      <c r="D28" s="1"/>
      <c r="E28" s="1"/>
      <c r="F28" s="1"/>
      <c r="G28" s="128"/>
      <c r="H28" s="128"/>
      <c r="I28" s="119"/>
      <c r="J28" s="119"/>
      <c r="K28" s="1"/>
      <c r="L28" s="1"/>
      <c r="M28" s="1"/>
      <c r="N28" s="1"/>
      <c r="O28" s="1"/>
      <c r="P28" s="1"/>
      <c r="Q28" s="102"/>
      <c r="R28" s="129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customFormat="false" ht="17" hidden="false" customHeight="true" outlineLevel="0" collapsed="false">
      <c r="A29" s="19" t="s">
        <v>110</v>
      </c>
      <c r="B29" s="1"/>
      <c r="C29" s="1"/>
      <c r="D29" s="1"/>
      <c r="E29" s="1"/>
      <c r="F29" s="1"/>
      <c r="G29" s="128"/>
      <c r="H29" s="128"/>
      <c r="I29" s="119"/>
      <c r="J29" s="119"/>
      <c r="K29" s="1"/>
      <c r="L29" s="117"/>
      <c r="M29" s="130" t="s">
        <v>80</v>
      </c>
      <c r="N29" s="120"/>
      <c r="O29" s="1"/>
      <c r="P29" s="1"/>
      <c r="Q29" s="102"/>
      <c r="R29" s="129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customFormat="false" ht="37.4" hidden="false" customHeight="true" outlineLevel="0" collapsed="false">
      <c r="A30" s="19"/>
      <c r="B30" s="1"/>
      <c r="C30" s="1"/>
      <c r="D30" s="1"/>
      <c r="E30" s="1"/>
      <c r="F30" s="1"/>
      <c r="G30" s="33" t="s">
        <v>111</v>
      </c>
      <c r="H30" s="122" t="n">
        <f aca="false">DEGREES( ACOS( COS(しーた)  *  SIN( RADIANS(プサイ + 90))))</f>
        <v>0</v>
      </c>
      <c r="I30" s="123" t="s">
        <v>13</v>
      </c>
      <c r="J30" s="36" t="s">
        <v>14</v>
      </c>
      <c r="K30" s="1"/>
      <c r="L30" s="1"/>
      <c r="M30" s="36" t="s">
        <v>112</v>
      </c>
      <c r="N30" s="1"/>
      <c r="O30" s="1"/>
      <c r="P30" s="1"/>
      <c r="Q30" s="102"/>
      <c r="R30" s="129"/>
      <c r="S30" s="103" t="s">
        <v>113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customFormat="false" ht="17" hidden="false" customHeight="true" outlineLevel="0" collapsed="false">
      <c r="A31" s="52"/>
      <c r="B31" s="131"/>
      <c r="C31" s="131"/>
      <c r="D31" s="131"/>
      <c r="E31" s="131"/>
      <c r="F31" s="131"/>
      <c r="G31" s="126"/>
      <c r="H31" s="126"/>
      <c r="I31" s="124"/>
      <c r="J31" s="124"/>
      <c r="K31" s="1"/>
      <c r="L31" s="1"/>
      <c r="M31" s="1"/>
      <c r="N31" s="1"/>
      <c r="O31" s="1"/>
      <c r="P31" s="1"/>
      <c r="Q31" s="102"/>
      <c r="R31" s="129"/>
      <c r="S31" s="132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customFormat="false" ht="17" hidden="false" customHeight="true" outlineLevel="0" collapsed="false">
      <c r="A32" s="19" t="s">
        <v>114</v>
      </c>
      <c r="B32" s="131"/>
      <c r="C32" s="131"/>
      <c r="D32" s="131"/>
      <c r="E32" s="131"/>
      <c r="F32" s="131"/>
      <c r="G32" s="119"/>
      <c r="H32" s="119"/>
      <c r="I32" s="124"/>
      <c r="J32" s="124"/>
      <c r="K32" s="1"/>
      <c r="L32" s="1"/>
      <c r="M32" s="107" t="s">
        <v>75</v>
      </c>
      <c r="N32" s="1"/>
      <c r="O32" s="1"/>
      <c r="P32" s="1"/>
      <c r="Q32" s="102"/>
      <c r="R32" s="129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customFormat="false" ht="37.4" hidden="false" customHeight="true" outlineLevel="0" collapsed="false">
      <c r="A33" s="129"/>
      <c r="B33" s="131"/>
      <c r="C33" s="131"/>
      <c r="D33" s="131"/>
      <c r="E33" s="131"/>
      <c r="F33" s="131"/>
      <c r="G33" s="33" t="s">
        <v>115</v>
      </c>
      <c r="H33" s="122" t="e">
        <f aca="false">DEGREES(_xlfn.ACOT( SIGN( ( COS(しーた)  *  COS(ぷさい)))  /  SQRT(  ( TAN(しーた))^2   +  ( _xlfn.SEC(しーた)  *  TAN(ぷさい))^2  )))</f>
        <v>#DIV/0!</v>
      </c>
      <c r="I33" s="123" t="s">
        <v>13</v>
      </c>
      <c r="J33" s="36" t="s">
        <v>14</v>
      </c>
      <c r="K33" s="1"/>
      <c r="L33" s="1"/>
      <c r="M33" s="36" t="s">
        <v>116</v>
      </c>
      <c r="N33" s="1"/>
      <c r="O33" s="1"/>
      <c r="P33" s="1"/>
      <c r="Q33" s="102"/>
      <c r="R33" s="129"/>
      <c r="S33" s="36" t="s">
        <v>117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customFormat="false" ht="17" hidden="false" customHeight="true" outlineLevel="0" collapsed="false">
      <c r="A34" s="19"/>
      <c r="B34" s="131"/>
      <c r="C34" s="131"/>
      <c r="D34" s="131"/>
      <c r="E34" s="131"/>
      <c r="F34" s="131"/>
      <c r="G34" s="126"/>
      <c r="H34" s="126"/>
      <c r="I34" s="126"/>
      <c r="J34" s="124"/>
      <c r="K34" s="1"/>
      <c r="L34" s="1"/>
      <c r="M34" s="1"/>
      <c r="N34" s="1"/>
      <c r="O34" s="33"/>
      <c r="P34" s="102"/>
      <c r="Q34" s="1"/>
      <c r="R34" s="129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customFormat="false" ht="17" hidden="false" customHeight="true" outlineLevel="0" collapsed="false">
      <c r="A35" s="19" t="s">
        <v>118</v>
      </c>
      <c r="B35" s="131"/>
      <c r="C35" s="131"/>
      <c r="D35" s="131"/>
      <c r="E35" s="131"/>
      <c r="F35" s="1"/>
      <c r="G35" s="119"/>
      <c r="H35" s="127"/>
      <c r="I35" s="124"/>
      <c r="J35" s="124"/>
      <c r="K35" s="1"/>
      <c r="L35" s="1"/>
      <c r="M35" s="133" t="s">
        <v>81</v>
      </c>
      <c r="N35" s="1"/>
      <c r="O35" s="33"/>
      <c r="P35" s="134" t="str">
        <f aca="false">IF(COS(しーた)*COS(ぷさい)&lt;0, TEXT(180-(P36), "セナカ アワセ　   ###.##　ド") , "..")</f>
        <v>..</v>
      </c>
      <c r="Q35" s="1"/>
      <c r="R35" s="129"/>
      <c r="S35" s="1"/>
      <c r="T35" s="1"/>
      <c r="U35" s="1"/>
      <c r="V35" s="1"/>
      <c r="W35" s="135" t="s">
        <v>119</v>
      </c>
      <c r="X35" s="1"/>
      <c r="Y35" s="1"/>
      <c r="Z35" s="1"/>
      <c r="AA35" s="1"/>
      <c r="AB35" s="1"/>
      <c r="AC35" s="1"/>
      <c r="AD35" s="1"/>
    </row>
    <row r="36" customFormat="false" ht="37.4" hidden="false" customHeight="true" outlineLevel="0" collapsed="false">
      <c r="A36" s="129"/>
      <c r="B36" s="131"/>
      <c r="C36" s="131"/>
      <c r="D36" s="131"/>
      <c r="E36" s="131"/>
      <c r="F36" s="37"/>
      <c r="G36" s="33" t="s">
        <v>120</v>
      </c>
      <c r="H36" s="122" t="n">
        <f aca="false">ABS(90-90*SIGN(COS(しーた)*COS(ぷさい))      -   DEGREES( ATAN(  SQRT(  ( TAN(しーた))^2  +  ( _xlfn.SEC(しーた) * TAN(ぷさい))^2  ))))</f>
        <v>0</v>
      </c>
      <c r="I36" s="123" t="s">
        <v>13</v>
      </c>
      <c r="J36" s="36" t="s">
        <v>14</v>
      </c>
      <c r="K36" s="1"/>
      <c r="L36" s="1"/>
      <c r="M36" s="36" t="s">
        <v>121</v>
      </c>
      <c r="N36" s="1"/>
      <c r="O36" s="33"/>
      <c r="P36" s="136" t="n">
        <f aca="false">DEGREES( ATAN(  SQRT(  ( TAN(しーた))^2  +  ( _xlfn.SEC(しーた) * TAN(ぷさい))^2  )))</f>
        <v>0</v>
      </c>
      <c r="Q36" s="137" t="s">
        <v>13</v>
      </c>
      <c r="R36" s="36" t="s">
        <v>122</v>
      </c>
      <c r="S36" s="1"/>
      <c r="T36" s="36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customFormat="false" ht="17" hidden="false" customHeight="true" outlineLevel="0" collapsed="false">
      <c r="A37" s="19"/>
      <c r="B37" s="131"/>
      <c r="C37" s="131"/>
      <c r="D37" s="131"/>
      <c r="E37" s="131"/>
      <c r="F37" s="131"/>
      <c r="G37" s="126"/>
      <c r="H37" s="138"/>
      <c r="I37" s="119"/>
      <c r="J37" s="124"/>
      <c r="K37" s="1"/>
      <c r="L37" s="1"/>
      <c r="M37" s="36"/>
      <c r="N37" s="1"/>
      <c r="O37" s="1"/>
      <c r="P37" s="1"/>
      <c r="Q37" s="102"/>
      <c r="R37" s="129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customFormat="false" ht="17" hidden="false" customHeight="true" outlineLevel="0" collapsed="false">
      <c r="A38" s="19" t="s">
        <v>123</v>
      </c>
      <c r="B38" s="131"/>
      <c r="C38" s="131"/>
      <c r="D38" s="131"/>
      <c r="E38" s="1"/>
      <c r="F38" s="131"/>
      <c r="G38" s="119"/>
      <c r="H38" s="119"/>
      <c r="I38" s="124"/>
      <c r="J38" s="124"/>
      <c r="K38" s="1"/>
      <c r="L38" s="1"/>
      <c r="M38" s="139" t="s">
        <v>72</v>
      </c>
      <c r="N38" s="1"/>
      <c r="O38" s="1"/>
      <c r="P38" s="134" t="str">
        <f aca="false">IF(COS(ぷさい)&lt;0, TEXT(180-(P39), "セナカ アワセ　   ###.##　ド") , "..")</f>
        <v>..</v>
      </c>
      <c r="Q38" s="102"/>
      <c r="R38" s="129"/>
      <c r="S38" s="1"/>
      <c r="T38" s="1"/>
      <c r="U38" s="1"/>
      <c r="V38" s="1"/>
      <c r="W38" s="135" t="s">
        <v>119</v>
      </c>
      <c r="X38" s="1"/>
      <c r="Y38" s="1"/>
      <c r="Z38" s="1"/>
      <c r="AA38" s="1"/>
      <c r="AB38" s="1"/>
      <c r="AC38" s="1"/>
      <c r="AD38" s="1"/>
    </row>
    <row r="39" customFormat="false" ht="37.4" hidden="false" customHeight="true" outlineLevel="0" collapsed="false">
      <c r="A39" s="129"/>
      <c r="B39" s="131"/>
      <c r="C39" s="131"/>
      <c r="D39" s="131"/>
      <c r="E39" s="131"/>
      <c r="F39" s="131"/>
      <c r="G39" s="33" t="s">
        <v>124</v>
      </c>
      <c r="H39" s="122" t="n">
        <f aca="false">DEGREES( ACOS( COS(しーた)  /   SQRT( 1 + ( TAN(ぷさい))^2 )  * SIGN( COS(ぷさい))))</f>
        <v>0</v>
      </c>
      <c r="I39" s="123" t="s">
        <v>13</v>
      </c>
      <c r="J39" s="36" t="s">
        <v>14</v>
      </c>
      <c r="K39" s="1"/>
      <c r="L39" s="1"/>
      <c r="M39" s="36" t="s">
        <v>121</v>
      </c>
      <c r="N39" s="1"/>
      <c r="O39" s="33"/>
      <c r="P39" s="136" t="n">
        <f aca="false">DEGREES( ACOS( COS(しーた)  /   SQRT( 1 + ( TAN(ぷさい))^2 )))</f>
        <v>0</v>
      </c>
      <c r="Q39" s="137" t="s">
        <v>13</v>
      </c>
      <c r="R39" s="36" t="s">
        <v>125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customFormat="false" ht="17" hidden="false" customHeight="true" outlineLevel="0" collapsed="false">
      <c r="A40" s="52"/>
      <c r="B40" s="131"/>
      <c r="C40" s="131"/>
      <c r="D40" s="131"/>
      <c r="E40" s="131"/>
      <c r="F40" s="131"/>
      <c r="G40" s="126"/>
      <c r="H40" s="126"/>
      <c r="I40" s="126"/>
      <c r="J40" s="124"/>
      <c r="K40" s="1"/>
      <c r="L40" s="1"/>
      <c r="M40" s="1"/>
      <c r="N40" s="1"/>
      <c r="O40" s="1"/>
      <c r="P40" s="140"/>
      <c r="Q40" s="1"/>
      <c r="R40" s="129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customFormat="false" ht="17" hidden="false" customHeight="true" outlineLevel="0" collapsed="false">
      <c r="A41" s="129" t="s">
        <v>126</v>
      </c>
      <c r="B41" s="131"/>
      <c r="C41" s="131"/>
      <c r="D41" s="131"/>
      <c r="E41" s="131"/>
      <c r="F41" s="131"/>
      <c r="G41" s="119"/>
      <c r="H41" s="119"/>
      <c r="I41" s="124"/>
      <c r="J41" s="124"/>
      <c r="K41" s="1"/>
      <c r="L41" s="1"/>
      <c r="M41" s="105" t="s">
        <v>73</v>
      </c>
      <c r="N41" s="1"/>
      <c r="O41" s="1"/>
      <c r="P41" s="134" t="str">
        <f aca="false">IF(SIN(ぷさい)&lt;0  , TEXT(180-(P42), "セナカ アワセ　   ###.##　ド")  , ".." )</f>
        <v>..</v>
      </c>
      <c r="Q41" s="1"/>
      <c r="R41" s="129"/>
      <c r="S41" s="1"/>
      <c r="T41" s="1"/>
      <c r="U41" s="1"/>
      <c r="V41" s="1"/>
      <c r="W41" s="135" t="s">
        <v>119</v>
      </c>
      <c r="X41" s="1"/>
      <c r="Y41" s="1"/>
      <c r="Z41" s="1"/>
      <c r="AA41" s="1"/>
      <c r="AB41" s="1"/>
      <c r="AC41" s="1"/>
      <c r="AD41" s="1"/>
    </row>
    <row r="42" customFormat="false" ht="37.4" hidden="false" customHeight="true" outlineLevel="0" collapsed="false">
      <c r="A42" s="129"/>
      <c r="B42" s="131"/>
      <c r="C42" s="131"/>
      <c r="D42" s="131"/>
      <c r="E42" s="131"/>
      <c r="F42" s="131"/>
      <c r="G42" s="33" t="s">
        <v>127</v>
      </c>
      <c r="H42" s="122" t="e">
        <f aca="false">DEGREES( _xlfn.ACOT( _xlfn.COT(しーた)  *   SIN( ATAN(  SIN(しーた) / TAN(ぷさい) ))  * SIGN( SIN(ぷさい))))</f>
        <v>#NUM!</v>
      </c>
      <c r="I42" s="123" t="s">
        <v>13</v>
      </c>
      <c r="J42" s="36" t="s">
        <v>14</v>
      </c>
      <c r="K42" s="1"/>
      <c r="L42" s="1"/>
      <c r="M42" s="36" t="s">
        <v>121</v>
      </c>
      <c r="N42" s="1"/>
      <c r="O42" s="33"/>
      <c r="P42" s="136" t="e">
        <f aca="false">DEGREES( _xlfn.ACOT( _xlfn.COT(しーた)  *   SIN( ATAN(  SIN(しーた) / TAN(ぷさい) ))))</f>
        <v>#NUM!</v>
      </c>
      <c r="Q42" s="137" t="s">
        <v>13</v>
      </c>
      <c r="R42" s="36" t="s">
        <v>128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customFormat="false" ht="17" hidden="false" customHeight="true" outlineLevel="0" collapsed="false">
      <c r="A43" s="52"/>
      <c r="B43" s="37"/>
      <c r="C43" s="18"/>
      <c r="D43" s="1"/>
      <c r="E43" s="1"/>
      <c r="F43" s="1"/>
      <c r="G43" s="119"/>
      <c r="H43" s="119"/>
      <c r="I43" s="119"/>
      <c r="J43" s="119"/>
      <c r="K43" s="1"/>
      <c r="L43" s="1"/>
      <c r="M43" s="1"/>
      <c r="N43" s="1"/>
      <c r="O43" s="1"/>
      <c r="P43" s="1"/>
      <c r="Q43" s="102"/>
      <c r="R43" s="129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customFormat="false" ht="17" hidden="false" customHeight="true" outlineLevel="0" collapsed="false">
      <c r="A44" s="19" t="s">
        <v>129</v>
      </c>
      <c r="B44" s="37"/>
      <c r="C44" s="18"/>
      <c r="D44" s="1"/>
      <c r="E44" s="1"/>
      <c r="F44" s="1"/>
      <c r="G44" s="119"/>
      <c r="H44" s="119"/>
      <c r="I44" s="119"/>
      <c r="J44" s="119"/>
      <c r="K44" s="1"/>
      <c r="L44" s="1"/>
      <c r="M44" s="141" t="s">
        <v>78</v>
      </c>
      <c r="N44" s="1"/>
      <c r="O44" s="1"/>
      <c r="P44" s="134" t="str">
        <f aca="false">IF(SIN(ぷさい)&lt;0  , TEXT(180-(P45), "セナカ アワセ　   ###.##　ド")  , ".." )</f>
        <v>..</v>
      </c>
      <c r="Q44" s="102"/>
      <c r="R44" s="129"/>
      <c r="S44" s="1"/>
      <c r="T44" s="1"/>
      <c r="U44" s="1"/>
      <c r="V44" s="1"/>
      <c r="W44" s="135" t="s">
        <v>119</v>
      </c>
      <c r="X44" s="1"/>
      <c r="Y44" s="1"/>
      <c r="Z44" s="1"/>
      <c r="AA44" s="1"/>
      <c r="AB44" s="1"/>
      <c r="AC44" s="1"/>
      <c r="AD44" s="1"/>
    </row>
    <row r="45" customFormat="false" ht="37.4" hidden="false" customHeight="true" outlineLevel="0" collapsed="false">
      <c r="A45" s="52"/>
      <c r="B45" s="131"/>
      <c r="C45" s="131"/>
      <c r="D45" s="131"/>
      <c r="E45" s="131"/>
      <c r="F45" s="131"/>
      <c r="G45" s="33" t="s">
        <v>130</v>
      </c>
      <c r="H45" s="122" t="e">
        <f aca="false">DEGREES( _xlfn.ACOT( _xlfn.COT(しーた)  *  COS(  _xlfn.ACOT( SIN(しーた)  /  TAN(ぷさい)    ))  *  SIGN( SIN(ぷさい))))</f>
        <v>#NUM!</v>
      </c>
      <c r="I45" s="123" t="s">
        <v>13</v>
      </c>
      <c r="J45" s="36" t="s">
        <v>14</v>
      </c>
      <c r="K45" s="1"/>
      <c r="L45" s="33"/>
      <c r="M45" s="36" t="s">
        <v>121</v>
      </c>
      <c r="N45" s="1"/>
      <c r="O45" s="33"/>
      <c r="P45" s="136" t="e">
        <f aca="false">DEGREES( _xlfn.ACOT( _xlfn.COT(しーた)  *  COS(  _xlfn.ACOT( SIN(しーた)  /  TAN(ぷさい)    ))))</f>
        <v>#NUM!</v>
      </c>
      <c r="Q45" s="137" t="s">
        <v>13</v>
      </c>
      <c r="R45" s="36" t="s">
        <v>131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customFormat="false" ht="17" hidden="false" customHeight="true" outlineLevel="0" collapsed="false">
      <c r="A46" s="19"/>
      <c r="B46" s="131"/>
      <c r="C46" s="131"/>
      <c r="D46" s="131"/>
      <c r="E46" s="131"/>
      <c r="F46" s="131"/>
      <c r="G46" s="126"/>
      <c r="H46" s="126"/>
      <c r="I46" s="119"/>
      <c r="J46" s="124"/>
      <c r="K46" s="1"/>
      <c r="L46" s="1"/>
      <c r="M46" s="1"/>
      <c r="N46" s="1"/>
      <c r="O46" s="1"/>
      <c r="P46" s="1"/>
      <c r="Q46" s="102"/>
      <c r="R46" s="129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customFormat="false" ht="17" hidden="false" customHeight="true" outlineLevel="0" collapsed="false">
      <c r="A47" s="129" t="s">
        <v>132</v>
      </c>
      <c r="B47" s="131"/>
      <c r="C47" s="131"/>
      <c r="D47" s="131"/>
      <c r="E47" s="1"/>
      <c r="F47" s="131"/>
      <c r="G47" s="119"/>
      <c r="H47" s="119"/>
      <c r="I47" s="124"/>
      <c r="J47" s="124"/>
      <c r="K47" s="1"/>
      <c r="L47" s="1"/>
      <c r="M47" s="142" t="s">
        <v>79</v>
      </c>
      <c r="N47" s="1"/>
      <c r="O47" s="1"/>
      <c r="P47" s="1"/>
      <c r="Q47" s="102"/>
      <c r="R47" s="129"/>
      <c r="S47" s="129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customFormat="false" ht="37.4" hidden="false" customHeight="true" outlineLevel="0" collapsed="false">
      <c r="A48" s="129"/>
      <c r="B48" s="131"/>
      <c r="C48" s="131"/>
      <c r="D48" s="131"/>
      <c r="E48" s="131"/>
      <c r="F48" s="131"/>
      <c r="G48" s="33" t="s">
        <v>133</v>
      </c>
      <c r="H48" s="122" t="n">
        <f aca="false">DEGREES( ACOS( COS(しーた)  * ( 1 /  _xlfn.SEC(ぷさい))))</f>
        <v>0</v>
      </c>
      <c r="I48" s="123" t="s">
        <v>13</v>
      </c>
      <c r="J48" s="36" t="s">
        <v>14</v>
      </c>
      <c r="K48" s="1"/>
      <c r="L48" s="1"/>
      <c r="M48" s="36" t="s">
        <v>134</v>
      </c>
      <c r="N48" s="1"/>
      <c r="O48" s="1"/>
      <c r="P48" s="1"/>
      <c r="Q48" s="102"/>
      <c r="R48" s="129"/>
      <c r="S48" s="36" t="s">
        <v>135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customFormat="false" ht="17" hidden="false" customHeight="true" outlineLevel="0" collapsed="false">
      <c r="A49" s="143"/>
      <c r="B49" s="144"/>
      <c r="C49" s="144"/>
      <c r="D49" s="144"/>
      <c r="E49" s="144"/>
      <c r="F49" s="144"/>
      <c r="G49" s="145"/>
      <c r="H49" s="145"/>
      <c r="I49" s="145"/>
      <c r="J49" s="145"/>
      <c r="K49" s="144"/>
      <c r="L49" s="144"/>
      <c r="M49" s="144"/>
      <c r="N49" s="144"/>
      <c r="O49" s="144"/>
      <c r="P49" s="144"/>
      <c r="Q49" s="146"/>
      <c r="R49" s="147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</row>
    <row r="50" customFormat="false" ht="17" hidden="false" customHeight="true" outlineLevel="0" collapsed="false">
      <c r="A50" s="19"/>
      <c r="B50" s="1"/>
      <c r="C50" s="1"/>
      <c r="D50" s="1"/>
      <c r="E50" s="31"/>
      <c r="F50" s="1"/>
      <c r="G50" s="119"/>
      <c r="H50" s="119"/>
      <c r="I50" s="119"/>
      <c r="J50" s="119"/>
      <c r="K50" s="1"/>
      <c r="L50" s="1"/>
      <c r="M50" s="1"/>
      <c r="N50" s="1"/>
      <c r="O50" s="1"/>
      <c r="P50" s="1"/>
      <c r="Q50" s="102"/>
      <c r="R50" s="129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customFormat="false" ht="17" hidden="false" customHeight="true" outlineLevel="0" collapsed="false">
      <c r="A51" s="19" t="s">
        <v>101</v>
      </c>
      <c r="B51" s="1"/>
      <c r="C51" s="1"/>
      <c r="D51" s="148"/>
      <c r="E51" s="149" t="s">
        <v>136</v>
      </c>
      <c r="F51" s="150"/>
      <c r="G51" s="119"/>
      <c r="H51" s="151"/>
      <c r="I51" s="119"/>
      <c r="J51" s="119"/>
      <c r="K51" s="1"/>
      <c r="L51" s="1"/>
      <c r="M51" s="152" t="s">
        <v>137</v>
      </c>
      <c r="N51" s="148"/>
      <c r="O51" s="1"/>
      <c r="P51" s="152" t="s">
        <v>138</v>
      </c>
      <c r="Q51" s="1"/>
      <c r="R51" s="1"/>
      <c r="S51" s="1"/>
      <c r="T51" s="1"/>
      <c r="U51" s="1"/>
      <c r="V51" s="119" t="s">
        <v>88</v>
      </c>
      <c r="W51" s="1"/>
      <c r="X51" s="1"/>
      <c r="Y51" s="1"/>
      <c r="Z51" s="1"/>
      <c r="AA51" s="1"/>
      <c r="AB51" s="1"/>
      <c r="AC51" s="1"/>
      <c r="AD51" s="1"/>
    </row>
    <row r="52" customFormat="false" ht="37.4" hidden="false" customHeight="true" outlineLevel="0" collapsed="false">
      <c r="A52" s="1"/>
      <c r="B52" s="1"/>
      <c r="C52" s="1"/>
      <c r="D52" s="153"/>
      <c r="E52" s="37"/>
      <c r="F52" s="47"/>
      <c r="G52" s="33" t="s">
        <v>139</v>
      </c>
      <c r="H52" s="154" t="n">
        <f aca="false">DEGREES( ACOS( COS(しーた)  *  COS(ぷさい)))</f>
        <v>0</v>
      </c>
      <c r="I52" s="137" t="s">
        <v>13</v>
      </c>
      <c r="J52" s="36" t="s">
        <v>14</v>
      </c>
      <c r="K52" s="155"/>
      <c r="L52" s="1"/>
      <c r="M52" s="103" t="s">
        <v>140</v>
      </c>
      <c r="N52" s="1"/>
      <c r="O52" s="1"/>
      <c r="P52" s="1"/>
      <c r="Q52" s="1"/>
      <c r="R52" s="1"/>
      <c r="S52" s="103" t="s">
        <v>141</v>
      </c>
      <c r="T52" s="1"/>
      <c r="U52" s="1"/>
      <c r="V52" s="1"/>
      <c r="W52" s="53"/>
      <c r="X52" s="1"/>
      <c r="Y52" s="1"/>
      <c r="Z52" s="1"/>
      <c r="AA52" s="1"/>
      <c r="AB52" s="1"/>
      <c r="AC52" s="1"/>
      <c r="AD52" s="1"/>
    </row>
    <row r="53" customFormat="false" ht="17" hidden="false" customHeight="true" outlineLevel="0" collapsed="false">
      <c r="A53" s="1"/>
      <c r="B53" s="1"/>
      <c r="C53" s="1"/>
      <c r="D53" s="1"/>
      <c r="E53" s="1"/>
      <c r="F53" s="1"/>
      <c r="G53" s="1"/>
      <c r="H53" s="72"/>
      <c r="I53" s="1"/>
      <c r="J53" s="1"/>
      <c r="K53" s="1"/>
      <c r="L53" s="1"/>
      <c r="M53" s="1"/>
      <c r="N53" s="156"/>
      <c r="O53" s="19"/>
      <c r="P53" s="1"/>
      <c r="Q53" s="1"/>
      <c r="R53" s="1"/>
      <c r="S53" s="1"/>
      <c r="T53" s="1"/>
      <c r="U53" s="1"/>
      <c r="V53" s="1"/>
      <c r="W53" s="53"/>
      <c r="X53" s="1"/>
      <c r="Y53" s="1"/>
      <c r="Z53" s="1"/>
      <c r="AA53" s="1"/>
      <c r="AB53" s="1"/>
      <c r="AC53" s="1"/>
      <c r="AD53" s="1"/>
    </row>
    <row r="54" customFormat="false" ht="17" hidden="false" customHeight="true" outlineLevel="0" collapsed="false">
      <c r="A54" s="1"/>
      <c r="B54" s="1"/>
      <c r="C54" s="1"/>
      <c r="D54" s="1"/>
      <c r="E54" s="1"/>
      <c r="F54" s="157"/>
      <c r="G54" s="157"/>
      <c r="H54" s="149" t="s">
        <v>142</v>
      </c>
      <c r="I54" s="1"/>
      <c r="J54" s="1"/>
      <c r="K54" s="1"/>
      <c r="L54" s="1"/>
      <c r="M54" s="1"/>
      <c r="N54" s="156"/>
      <c r="O54" s="19"/>
      <c r="P54" s="1"/>
      <c r="Q54" s="1"/>
      <c r="R54" s="1"/>
      <c r="S54" s="1"/>
      <c r="T54" s="1"/>
      <c r="U54" s="1"/>
      <c r="V54" s="1"/>
      <c r="W54" s="53"/>
      <c r="X54" s="1"/>
      <c r="Y54" s="1"/>
      <c r="Z54" s="1"/>
      <c r="AA54" s="1"/>
      <c r="AB54" s="1"/>
      <c r="AC54" s="1"/>
      <c r="AD54" s="1"/>
    </row>
    <row r="55" customFormat="false" ht="17" hidden="false" customHeight="true" outlineLevel="0" collapsed="false">
      <c r="A55" s="1"/>
      <c r="B55" s="1"/>
      <c r="C55" s="1"/>
      <c r="D55" s="1"/>
      <c r="E55" s="1"/>
      <c r="F55" s="1"/>
      <c r="G55" s="1"/>
      <c r="H55" s="158" t="s">
        <v>143</v>
      </c>
      <c r="I55" s="1"/>
      <c r="J55" s="1"/>
      <c r="K55" s="1"/>
      <c r="L55" s="1"/>
      <c r="M55" s="1"/>
      <c r="N55" s="156"/>
      <c r="O55" s="19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customFormat="false" ht="17" hidden="false" customHeight="true" outlineLevel="0" collapsed="false">
      <c r="A56" s="1"/>
      <c r="B56" s="1"/>
      <c r="C56" s="1"/>
      <c r="D56" s="1"/>
      <c r="E56" s="1"/>
      <c r="F56" s="1"/>
      <c r="G56" s="23"/>
      <c r="H56" s="1"/>
      <c r="I56" s="1"/>
      <c r="J56" s="23"/>
      <c r="K56" s="1"/>
      <c r="L56" s="1"/>
      <c r="M56" s="1"/>
      <c r="N56" s="156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customFormat="false" ht="17" hidden="false" customHeight="true" outlineLevel="0" collapsed="false">
      <c r="A57" s="1"/>
      <c r="B57" s="1"/>
      <c r="C57" s="1"/>
      <c r="D57" s="57"/>
      <c r="E57" s="57"/>
      <c r="F57" s="57"/>
      <c r="G57" s="57"/>
      <c r="H57" s="57"/>
      <c r="I57" s="33"/>
      <c r="J57" s="159"/>
      <c r="K57" s="59"/>
      <c r="L57" s="1"/>
      <c r="M57" s="1"/>
      <c r="N57" s="156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customFormat="false" ht="17" hidden="false" customHeight="true" outlineLevel="0" collapsed="false">
      <c r="A58" s="1"/>
      <c r="B58" s="1"/>
      <c r="C58" s="1"/>
      <c r="D58" s="57"/>
      <c r="E58" s="57"/>
      <c r="F58" s="57"/>
      <c r="G58" s="57"/>
      <c r="H58" s="57"/>
      <c r="I58" s="1"/>
      <c r="J58" s="1"/>
      <c r="K58" s="1"/>
      <c r="L58" s="1"/>
      <c r="M58" s="1"/>
      <c r="N58" s="39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customFormat="false" ht="17" hidden="false" customHeight="true" outlineLevel="0" collapsed="false">
      <c r="A59" s="1"/>
      <c r="B59" s="1"/>
      <c r="C59" s="1"/>
      <c r="D59" s="57"/>
      <c r="E59" s="57"/>
      <c r="F59" s="57"/>
      <c r="G59" s="57"/>
      <c r="H59" s="57"/>
      <c r="I59" s="1"/>
      <c r="J59" s="1"/>
      <c r="K59" s="1"/>
      <c r="L59" s="1"/>
      <c r="M59" s="1"/>
      <c r="N59" s="39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customFormat="false" ht="17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customFormat="false" ht="17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56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customFormat="false" ht="17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56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customFormat="false" ht="17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customFormat="false" ht="17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customFormat="false" ht="17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customFormat="false" ht="17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8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customFormat="false" ht="17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8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customFormat="false" ht="17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8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customFormat="false" ht="17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8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customFormat="false" ht="17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8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customFormat="false" ht="17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8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customFormat="false" ht="17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8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customFormat="false" ht="17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8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customFormat="false" ht="17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8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customFormat="false" ht="17" hidden="false" customHeight="true" outlineLevel="0" collapsed="false">
      <c r="A75" s="1"/>
      <c r="B75" s="1"/>
      <c r="C75" s="1"/>
      <c r="D75" s="57"/>
      <c r="E75" s="1"/>
      <c r="F75" s="33"/>
      <c r="G75" s="159"/>
      <c r="H75" s="103"/>
      <c r="I75" s="33"/>
      <c r="J75" s="159"/>
      <c r="K75" s="59"/>
      <c r="L75" s="1"/>
      <c r="M75" s="1"/>
      <c r="N75" s="1"/>
      <c r="O75" s="1"/>
      <c r="P75" s="18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customFormat="false" ht="17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67"/>
      <c r="K76" s="1"/>
      <c r="L76" s="1"/>
      <c r="M76" s="1"/>
      <c r="N76" s="1"/>
      <c r="O76" s="1"/>
      <c r="P76" s="18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customFormat="false" ht="17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8"/>
      <c r="K77" s="1"/>
      <c r="L77" s="1"/>
      <c r="M77" s="1"/>
      <c r="N77" s="1"/>
      <c r="O77" s="1"/>
      <c r="P77" s="18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customFormat="false" ht="17" hidden="false" customHeight="true" outlineLevel="0" collapsed="false">
      <c r="A78" s="1"/>
      <c r="B78" s="1"/>
      <c r="C78" s="1"/>
      <c r="D78" s="1"/>
      <c r="E78" s="1"/>
      <c r="F78" s="1"/>
      <c r="G78" s="23"/>
      <c r="H78" s="1" t="s">
        <v>144</v>
      </c>
      <c r="I78" s="37" t="s">
        <v>145</v>
      </c>
      <c r="J78" s="18"/>
      <c r="K78" s="1"/>
      <c r="L78" s="1"/>
      <c r="M78" s="1"/>
      <c r="N78" s="1"/>
      <c r="O78" s="1"/>
      <c r="P78" s="18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customFormat="false" ht="17" hidden="false" customHeight="true" outlineLevel="0" collapsed="false">
      <c r="A79" s="1"/>
      <c r="B79" s="1"/>
      <c r="C79" s="1"/>
      <c r="D79" s="57"/>
      <c r="E79" s="1"/>
      <c r="F79" s="33"/>
      <c r="G79" s="159"/>
      <c r="H79" s="1"/>
      <c r="I79" s="37"/>
      <c r="J79" s="18"/>
      <c r="K79" s="59"/>
      <c r="L79" s="1"/>
      <c r="M79" s="1"/>
      <c r="N79" s="1"/>
      <c r="O79" s="1"/>
      <c r="P79" s="18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customFormat="false" ht="17" hidden="false" customHeight="true" outlineLevel="0" collapsed="false">
      <c r="A80" s="1"/>
      <c r="B80" s="1"/>
      <c r="C80" s="1"/>
      <c r="D80" s="1"/>
      <c r="E80" s="1"/>
      <c r="F80" s="1"/>
      <c r="G80" s="1"/>
      <c r="H80" s="1" t="s">
        <v>146</v>
      </c>
      <c r="I80" s="37" t="s">
        <v>147</v>
      </c>
      <c r="J80" s="18"/>
      <c r="K80" s="1"/>
      <c r="L80" s="1"/>
      <c r="M80" s="1"/>
      <c r="N80" s="1"/>
      <c r="O80" s="1"/>
      <c r="P80" s="18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customFormat="false" ht="17" hidden="false" customHeight="true" outlineLevel="0" collapsed="false">
      <c r="A81" s="1"/>
      <c r="B81" s="1"/>
      <c r="C81" s="1"/>
      <c r="D81" s="2"/>
      <c r="E81" s="1"/>
      <c r="F81" s="1"/>
      <c r="G81" s="1"/>
      <c r="H81" s="1"/>
      <c r="I81" s="37"/>
      <c r="J81" s="18"/>
      <c r="K81" s="1"/>
      <c r="L81" s="1"/>
      <c r="M81" s="1"/>
      <c r="N81" s="1"/>
      <c r="O81" s="1"/>
      <c r="P81" s="18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customFormat="false" ht="17" hidden="false" customHeight="true" outlineLevel="0" collapsed="false">
      <c r="A82" s="1"/>
      <c r="B82" s="1"/>
      <c r="C82" s="1"/>
      <c r="D82" s="1"/>
      <c r="E82" s="1"/>
      <c r="F82" s="1"/>
      <c r="G82" s="23"/>
      <c r="H82" s="1" t="s">
        <v>148</v>
      </c>
      <c r="I82" s="36" t="s">
        <v>149</v>
      </c>
      <c r="J82" s="1"/>
      <c r="K82" s="1"/>
      <c r="L82" s="1"/>
      <c r="M82" s="1"/>
      <c r="N82" s="1"/>
      <c r="O82" s="1"/>
      <c r="P82" s="18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customFormat="false" ht="17" hidden="false" customHeight="true" outlineLevel="0" collapsed="false">
      <c r="A83" s="1"/>
      <c r="B83" s="1"/>
      <c r="C83" s="1"/>
      <c r="D83" s="57"/>
      <c r="E83" s="1"/>
      <c r="F83" s="33"/>
      <c r="G83" s="159"/>
      <c r="H83" s="1"/>
      <c r="I83" s="37"/>
      <c r="J83" s="1"/>
      <c r="K83" s="59"/>
      <c r="L83" s="1"/>
      <c r="M83" s="1"/>
      <c r="N83" s="1"/>
      <c r="O83" s="1"/>
      <c r="P83" s="18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customFormat="false" ht="17" hidden="false" customHeight="true" outlineLevel="0" collapsed="false">
      <c r="A84" s="1"/>
      <c r="B84" s="1"/>
      <c r="C84" s="1"/>
      <c r="D84" s="1"/>
      <c r="E84" s="1"/>
      <c r="F84" s="1"/>
      <c r="G84" s="70"/>
      <c r="H84" s="1" t="s">
        <v>150</v>
      </c>
      <c r="I84" s="36" t="s">
        <v>151</v>
      </c>
      <c r="J84" s="1"/>
      <c r="K84" s="1"/>
      <c r="L84" s="1"/>
      <c r="M84" s="1"/>
      <c r="N84" s="1"/>
      <c r="O84" s="1"/>
      <c r="P84" s="18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customFormat="false" ht="17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37"/>
      <c r="J85" s="1"/>
      <c r="K85" s="1"/>
      <c r="L85" s="1"/>
      <c r="M85" s="1"/>
      <c r="N85" s="1"/>
      <c r="O85" s="1"/>
      <c r="P85" s="18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customFormat="false" ht="17" hidden="false" customHeight="true" outlineLevel="0" collapsed="false">
      <c r="A86" s="1"/>
      <c r="B86" s="1"/>
      <c r="C86" s="1"/>
      <c r="D86" s="1"/>
      <c r="E86" s="1"/>
      <c r="F86" s="1"/>
      <c r="G86" s="23"/>
      <c r="H86" s="1" t="s">
        <v>152</v>
      </c>
      <c r="I86" s="37" t="s">
        <v>153</v>
      </c>
      <c r="J86" s="1"/>
      <c r="K86" s="23"/>
      <c r="L86" s="1"/>
      <c r="M86" s="1"/>
      <c r="N86" s="1"/>
      <c r="O86" s="1"/>
      <c r="P86" s="18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customFormat="false" ht="17" hidden="false" customHeight="true" outlineLevel="0" collapsed="false">
      <c r="A87" s="1"/>
      <c r="B87" s="1"/>
      <c r="C87" s="1"/>
      <c r="D87" s="57"/>
      <c r="E87" s="1"/>
      <c r="F87" s="33"/>
      <c r="G87" s="160"/>
      <c r="H87" s="1"/>
      <c r="I87" s="37"/>
      <c r="J87" s="1"/>
      <c r="K87" s="160"/>
      <c r="L87" s="1"/>
      <c r="M87" s="1"/>
      <c r="N87" s="1"/>
      <c r="O87" s="1"/>
      <c r="P87" s="18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customFormat="false" ht="17" hidden="false" customHeight="true" outlineLevel="0" collapsed="false">
      <c r="A88" s="1"/>
      <c r="B88" s="1"/>
      <c r="C88" s="1"/>
      <c r="D88" s="1"/>
      <c r="E88" s="1"/>
      <c r="F88" s="1"/>
      <c r="G88" s="70"/>
      <c r="H88" s="1" t="s">
        <v>154</v>
      </c>
      <c r="I88" s="37" t="s">
        <v>155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customFormat="false" ht="17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3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customFormat="false" ht="17" hidden="false" customHeight="true" outlineLevel="0" collapsed="false">
      <c r="A90" s="1"/>
      <c r="B90" s="1"/>
      <c r="C90" s="1"/>
      <c r="D90" s="1"/>
      <c r="E90" s="1"/>
      <c r="F90" s="1"/>
      <c r="G90" s="1"/>
      <c r="H90" s="1" t="s">
        <v>156</v>
      </c>
      <c r="I90" s="37" t="s">
        <v>157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customFormat="false" ht="17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3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customFormat="false" ht="17" hidden="false" customHeight="true" outlineLevel="0" collapsed="false">
      <c r="A92" s="1"/>
      <c r="B92" s="1"/>
      <c r="C92" s="1"/>
      <c r="D92" s="1"/>
      <c r="E92" s="1"/>
      <c r="F92" s="1"/>
      <c r="G92" s="1"/>
      <c r="H92" s="1" t="s">
        <v>158</v>
      </c>
      <c r="I92" s="37" t="s">
        <v>159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customFormat="false" ht="17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customFormat="false" ht="17" hidden="false" customHeight="true" outlineLevel="0" collapsed="false"/>
    <row r="95" customFormat="false" ht="17" hidden="false" customHeight="true" outlineLevel="0" collapsed="false"/>
    <row r="96" customFormat="false" ht="17" hidden="false" customHeight="true" outlineLevel="0" collapsed="false"/>
    <row r="97" customFormat="false" ht="17" hidden="false" customHeight="true" outlineLevel="0" collapsed="false"/>
    <row r="98" customFormat="false" ht="17" hidden="false" customHeight="true" outlineLevel="0" collapsed="false"/>
    <row r="99" customFormat="false" ht="17" hidden="false" customHeight="true" outlineLevel="0" collapsed="false"/>
    <row r="100" customFormat="false" ht="17" hidden="false" customHeight="true" outlineLevel="0" collapsed="false"/>
    <row r="101" customFormat="false" ht="17" hidden="false" customHeight="true" outlineLevel="0" collapsed="false"/>
    <row r="102" customFormat="false" ht="17" hidden="false" customHeight="true" outlineLevel="0" collapsed="false"/>
    <row r="103" customFormat="false" ht="17" hidden="false" customHeight="true" outlineLevel="0" collapsed="false">
      <c r="A103" s="161"/>
    </row>
    <row r="104" customFormat="false" ht="17" hidden="false" customHeight="true" outlineLevel="0" collapsed="false">
      <c r="A104" s="161"/>
    </row>
    <row r="105" customFormat="false" ht="17" hidden="false" customHeight="true" outlineLevel="0" collapsed="false">
      <c r="A105" s="161"/>
    </row>
    <row r="106" customFormat="false" ht="17" hidden="false" customHeight="true" outlineLevel="0" collapsed="false">
      <c r="A106" s="161"/>
    </row>
    <row r="107" customFormat="false" ht="17" hidden="false" customHeight="true" outlineLevel="0" collapsed="false">
      <c r="A107" s="161"/>
    </row>
    <row r="108" customFormat="false" ht="17" hidden="false" customHeight="true" outlineLevel="0" collapsed="false">
      <c r="A108" s="161"/>
    </row>
    <row r="109" customFormat="false" ht="17" hidden="false" customHeight="true" outlineLevel="0" collapsed="false">
      <c r="A109" s="161"/>
    </row>
    <row r="110" customFormat="false" ht="17" hidden="false" customHeight="true" outlineLevel="0" collapsed="false">
      <c r="A110" s="161"/>
    </row>
    <row r="111" customFormat="false" ht="17" hidden="false" customHeight="true" outlineLevel="0" collapsed="false">
      <c r="A111" s="161"/>
    </row>
    <row r="112" customFormat="false" ht="17" hidden="false" customHeight="true" outlineLevel="0" collapsed="false">
      <c r="A112" s="161"/>
    </row>
    <row r="113" customFormat="false" ht="17" hidden="false" customHeight="true" outlineLevel="0" collapsed="false">
      <c r="A113" s="161"/>
    </row>
    <row r="114" customFormat="false" ht="17" hidden="false" customHeight="true" outlineLevel="0" collapsed="false">
      <c r="A114" s="162"/>
    </row>
    <row r="115" customFormat="false" ht="17" hidden="false" customHeight="true" outlineLevel="0" collapsed="false">
      <c r="A115" s="161"/>
    </row>
    <row r="116" customFormat="false" ht="17" hidden="false" customHeight="true" outlineLevel="0" collapsed="false">
      <c r="A116" s="161"/>
    </row>
    <row r="117" customFormat="false" ht="17" hidden="false" customHeight="true" outlineLevel="0" collapsed="false">
      <c r="A117" s="162"/>
    </row>
    <row r="118" customFormat="false" ht="17" hidden="false" customHeight="true" outlineLevel="0" collapsed="false">
      <c r="A118" s="161"/>
    </row>
    <row r="119" customFormat="false" ht="17" hidden="false" customHeight="true" outlineLevel="0" collapsed="false">
      <c r="A119" s="161"/>
    </row>
    <row r="120" customFormat="false" ht="17" hidden="false" customHeight="true" outlineLevel="0" collapsed="false">
      <c r="A120" s="162"/>
    </row>
    <row r="121" customFormat="false" ht="17" hidden="false" customHeight="true" outlineLevel="0" collapsed="false">
      <c r="A121" s="161"/>
    </row>
    <row r="122" customFormat="false" ht="17" hidden="false" customHeight="true" outlineLevel="0" collapsed="false">
      <c r="A122" s="162"/>
    </row>
    <row r="123" customFormat="false" ht="17" hidden="false" customHeight="true" outlineLevel="0" collapsed="false">
      <c r="A123" s="162"/>
    </row>
    <row r="124" customFormat="false" ht="12.8" hidden="false" customHeight="false" outlineLevel="0" collapsed="false">
      <c r="A124" s="161"/>
    </row>
    <row r="125" customFormat="false" ht="12.8" hidden="false" customHeight="false" outlineLevel="0" collapsed="false">
      <c r="A125" s="162"/>
    </row>
    <row r="126" customFormat="false" ht="12.8" hidden="false" customHeight="false" outlineLevel="0" collapsed="false">
      <c r="A126" s="162"/>
    </row>
    <row r="127" customFormat="false" ht="12.8" hidden="false" customHeight="false" outlineLevel="0" collapsed="false">
      <c r="A127" s="161"/>
    </row>
    <row r="128" customFormat="false" ht="12.8" hidden="false" customHeight="false" outlineLevel="0" collapsed="false">
      <c r="A128" s="161"/>
    </row>
  </sheetData>
  <hyperlinks>
    <hyperlink ref="N5" location="CHART12!A411" display="うん の 型"/>
    <hyperlink ref="O5" location="CHART12!A461" display="もん の 型"/>
    <hyperlink ref="P5" location="CHART12!A211" display="えん の 型"/>
    <hyperlink ref="Q5" location="CHART12!A311" display="げん の 型"/>
    <hyperlink ref="S5" location="CHART12!A11" display="じっそう"/>
    <hyperlink ref="T5" location="CHART12!A111" display="モード"/>
    <hyperlink ref="N6" location="CHART12!A511" display="てん の 型"/>
    <hyperlink ref="O6" location="CHART12!A561" display="みん の 型"/>
    <hyperlink ref="P6" location="CHART12!A261" display="めん の 型"/>
    <hyperlink ref="Q6" location="CHART12!A361" display="りん の 型"/>
    <hyperlink ref="S6" location="CHART12!A61" display="せいしき"/>
    <hyperlink ref="T6" location="CHART12!A161" display="こさいん"/>
    <hyperlink ref="M14" location="CHART12!A11" display="じっそう"/>
    <hyperlink ref="M17" location="CHART12!A61" display="せいしき"/>
    <hyperlink ref="M20" location="CHART12!A111" display="モード"/>
    <hyperlink ref="M23" location="CHART12!A161" display="こさいん"/>
    <hyperlink ref="M26" location="CHART12!A211" display="えん の 型"/>
    <hyperlink ref="M29" location="CHART12!A261" display="めん の 型"/>
    <hyperlink ref="M32" location="CHART12!A311" display="げん の 型"/>
    <hyperlink ref="M35" location="CHART12!A361" display="りん の 型"/>
    <hyperlink ref="W35" r:id="rId1" location="3" display="4quad"/>
    <hyperlink ref="M38" location="CHART12!A411" display="うん の 型"/>
    <hyperlink ref="W38" r:id="rId2" location="3" display="4quad"/>
    <hyperlink ref="M41" location="CHART12!A461" display="もん の 型"/>
    <hyperlink ref="W41" r:id="rId3" location="3" display="4quad"/>
    <hyperlink ref="M44" location="CHART12!A511" display="てん の 型"/>
    <hyperlink ref="W44" r:id="rId4" location="3" display="4quad"/>
    <hyperlink ref="M47" location="CHART12!A561" display="みん の 型"/>
    <hyperlink ref="M51" location="CHART12!A211" display="しんぷる"/>
    <hyperlink ref="P51" r:id="rId5" display="じっせん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6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5625" defaultRowHeight="12.8" zeroHeight="false" outlineLevelRow="0" outlineLevelCol="0"/>
  <cols>
    <col collapsed="false" customWidth="true" hidden="false" outlineLevel="0" max="3" min="3" style="0" width="3.61"/>
  </cols>
  <sheetData>
    <row r="1" customFormat="false" ht="12.75" hidden="false" customHeight="true" outlineLevel="0" collapsed="false">
      <c r="A1" s="163"/>
      <c r="B1" s="1"/>
      <c r="C1" s="163"/>
      <c r="D1" s="1"/>
      <c r="E1" s="1"/>
      <c r="F1" s="1"/>
      <c r="G1" s="1"/>
      <c r="H1" s="53"/>
      <c r="I1" s="5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customFormat="false" ht="12.75" hidden="false" customHeight="true" outlineLevel="0" collapsed="false">
      <c r="A2" s="72" t="s">
        <v>160</v>
      </c>
      <c r="B2" s="1"/>
      <c r="C2" s="1"/>
      <c r="D2" s="1"/>
      <c r="E2" s="1"/>
      <c r="F2" s="1"/>
      <c r="G2" s="1"/>
      <c r="H2" s="1"/>
      <c r="I2" s="53"/>
      <c r="J2" s="1"/>
      <c r="K2" s="1"/>
      <c r="L2" s="1"/>
      <c r="M2" s="1"/>
      <c r="N2" s="5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customFormat="false" ht="12.75" hidden="false" customHeight="true" outlineLevel="0" collapsed="false">
      <c r="A3" s="1"/>
      <c r="B3" s="1"/>
      <c r="C3" s="1"/>
      <c r="D3" s="1"/>
      <c r="E3" s="1"/>
      <c r="F3" s="1"/>
      <c r="G3" s="164"/>
      <c r="H3" s="36"/>
      <c r="I3" s="5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customFormat="false" ht="23.8" hidden="false" customHeight="true" outlineLevel="0" collapsed="false">
      <c r="A4" s="1"/>
      <c r="B4" s="165" t="s">
        <v>161</v>
      </c>
      <c r="C4" s="166" t="s">
        <v>162</v>
      </c>
      <c r="D4" s="167"/>
      <c r="E4" s="168"/>
      <c r="F4" s="168"/>
      <c r="G4" s="169"/>
      <c r="H4" s="113"/>
      <c r="I4" s="53"/>
      <c r="J4" s="117"/>
      <c r="K4" s="16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customFormat="false" ht="23.8" hidden="false" customHeight="true" outlineLevel="0" collapsed="false">
      <c r="A5" s="1"/>
      <c r="B5" s="1"/>
      <c r="C5" s="170"/>
      <c r="D5" s="170"/>
      <c r="E5" s="170"/>
      <c r="F5" s="171"/>
      <c r="G5" s="171"/>
      <c r="H5" s="171"/>
      <c r="I5" s="171"/>
      <c r="J5" s="171"/>
      <c r="K5" s="171"/>
      <c r="L5" s="17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customFormat="false" ht="23.8" hidden="false" customHeight="true" outlineLevel="0" collapsed="false">
      <c r="A6" s="172" t="s">
        <v>163</v>
      </c>
      <c r="B6" s="1"/>
      <c r="C6" s="173"/>
      <c r="D6" s="170"/>
      <c r="E6" s="174" t="s">
        <v>164</v>
      </c>
      <c r="F6" s="171"/>
      <c r="G6" s="171"/>
      <c r="H6" s="175" t="s">
        <v>165</v>
      </c>
      <c r="I6" s="171"/>
      <c r="J6" s="171"/>
      <c r="K6" s="170"/>
      <c r="L6" s="17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customFormat="false" ht="23.8" hidden="false" customHeight="true" outlineLevel="0" collapsed="false">
      <c r="A7" s="172" t="s">
        <v>166</v>
      </c>
      <c r="B7" s="1"/>
      <c r="C7" s="173"/>
      <c r="D7" s="173"/>
      <c r="E7" s="170"/>
      <c r="F7" s="171"/>
      <c r="G7" s="176"/>
      <c r="H7" s="170"/>
      <c r="I7" s="170"/>
      <c r="J7" s="170"/>
      <c r="K7" s="170"/>
      <c r="L7" s="17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customFormat="false" ht="23.8" hidden="false" customHeight="true" outlineLevel="0" collapsed="false">
      <c r="A8" s="1"/>
      <c r="B8" s="1"/>
      <c r="C8" s="170"/>
      <c r="D8" s="173"/>
      <c r="E8" s="177"/>
      <c r="F8" s="178" t="s">
        <v>167</v>
      </c>
      <c r="G8" s="170"/>
      <c r="H8" s="170"/>
      <c r="I8" s="170"/>
      <c r="J8" s="170"/>
      <c r="K8" s="170"/>
      <c r="L8" s="170"/>
      <c r="M8" s="1"/>
      <c r="N8" s="17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customFormat="false" ht="23.8" hidden="false" customHeight="true" outlineLevel="0" collapsed="false">
      <c r="A9" s="1"/>
      <c r="B9" s="1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customFormat="false" ht="23.8" hidden="false" customHeight="true" outlineLevel="0" collapsed="false">
      <c r="A10" s="1"/>
      <c r="B10" s="1"/>
      <c r="C10" s="170"/>
      <c r="D10" s="173"/>
      <c r="E10" s="180" t="s">
        <v>168</v>
      </c>
      <c r="F10" s="170"/>
      <c r="G10" s="170"/>
      <c r="H10" s="170"/>
      <c r="I10" s="170"/>
      <c r="J10" s="170"/>
      <c r="K10" s="170"/>
      <c r="L10" s="170"/>
      <c r="M10" s="1"/>
      <c r="N10" s="18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customFormat="false" ht="19.3" hidden="false" customHeight="true" outlineLevel="0" collapsed="false">
      <c r="A11" s="1"/>
      <c r="B11" s="1"/>
      <c r="C11" s="1"/>
      <c r="D11" s="1"/>
      <c r="E11" s="131"/>
      <c r="F11" s="131"/>
      <c r="G11" s="131"/>
      <c r="H11" s="131"/>
      <c r="I11" s="1"/>
      <c r="J11" s="1"/>
      <c r="K11" s="1"/>
      <c r="L11" s="1"/>
      <c r="M11" s="1"/>
      <c r="N11" s="1"/>
      <c r="O11" s="1"/>
      <c r="P11" s="1"/>
      <c r="Q11" s="182" t="n">
        <v>195</v>
      </c>
      <c r="R11" s="182" t="n">
        <v>210</v>
      </c>
      <c r="S11" s="182" t="n">
        <v>225</v>
      </c>
      <c r="T11" s="182" t="n">
        <v>240</v>
      </c>
      <c r="U11" s="182" t="n">
        <v>255</v>
      </c>
      <c r="V11" s="182" t="n">
        <v>270</v>
      </c>
      <c r="W11" s="182" t="n">
        <v>285</v>
      </c>
      <c r="X11" s="182" t="n">
        <v>300</v>
      </c>
      <c r="Y11" s="182" t="n">
        <v>315</v>
      </c>
      <c r="Z11" s="182" t="n">
        <v>330</v>
      </c>
      <c r="AA11" s="182" t="n">
        <v>345</v>
      </c>
      <c r="AB11" s="183" t="n">
        <v>359.99</v>
      </c>
      <c r="AC11" s="184" t="n">
        <v>360</v>
      </c>
      <c r="AD11" s="185" t="s">
        <v>169</v>
      </c>
      <c r="AE11" s="1"/>
      <c r="AF11" s="1" t="s">
        <v>170</v>
      </c>
      <c r="AG11" s="1"/>
      <c r="AH11" s="1"/>
      <c r="AI11" s="1"/>
      <c r="AJ11" s="1"/>
      <c r="AK11" s="1"/>
      <c r="AL11" s="1"/>
    </row>
    <row r="12" customFormat="false" ht="19.3" hidden="false" customHeight="true" outlineLevel="0" collapsed="false">
      <c r="A12" s="1"/>
      <c r="B12" s="186"/>
      <c r="C12" s="187" t="s">
        <v>171</v>
      </c>
      <c r="D12" s="188" t="n">
        <v>0.001</v>
      </c>
      <c r="E12" s="182" t="n">
        <v>15</v>
      </c>
      <c r="F12" s="182" t="n">
        <v>30</v>
      </c>
      <c r="G12" s="182" t="n">
        <v>45</v>
      </c>
      <c r="H12" s="182" t="n">
        <v>60</v>
      </c>
      <c r="I12" s="182" t="n">
        <v>75</v>
      </c>
      <c r="J12" s="182" t="n">
        <v>90</v>
      </c>
      <c r="K12" s="182" t="n">
        <v>105</v>
      </c>
      <c r="L12" s="182" t="n">
        <v>120</v>
      </c>
      <c r="M12" s="182" t="n">
        <v>135</v>
      </c>
      <c r="N12" s="182" t="n">
        <v>150</v>
      </c>
      <c r="O12" s="182" t="n">
        <v>165</v>
      </c>
      <c r="P12" s="182" t="n">
        <v>180</v>
      </c>
      <c r="Q12" s="189" t="n">
        <v>-165</v>
      </c>
      <c r="R12" s="189" t="n">
        <v>-150</v>
      </c>
      <c r="S12" s="189" t="n">
        <v>-135</v>
      </c>
      <c r="T12" s="189" t="n">
        <v>-120</v>
      </c>
      <c r="U12" s="189" t="n">
        <v>-105</v>
      </c>
      <c r="V12" s="189" t="n">
        <v>-90</v>
      </c>
      <c r="W12" s="189" t="n">
        <v>-75</v>
      </c>
      <c r="X12" s="189" t="n">
        <v>-60</v>
      </c>
      <c r="Y12" s="189" t="n">
        <v>-45</v>
      </c>
      <c r="Z12" s="189" t="n">
        <v>-30</v>
      </c>
      <c r="AA12" s="189" t="n">
        <v>-15</v>
      </c>
      <c r="AB12" s="183" t="n">
        <v>-0.01</v>
      </c>
      <c r="AC12" s="184" t="n">
        <v>0</v>
      </c>
      <c r="AD12" s="184" t="n">
        <v>0</v>
      </c>
      <c r="AE12" s="1"/>
      <c r="AF12" s="23" t="s">
        <v>172</v>
      </c>
      <c r="AG12" s="1"/>
      <c r="AH12" s="1"/>
      <c r="AI12" s="1"/>
      <c r="AJ12" s="1"/>
      <c r="AK12" s="1"/>
      <c r="AL12" s="1"/>
    </row>
    <row r="13" customFormat="false" ht="19.3" hidden="false" customHeight="true" outlineLevel="0" collapsed="false">
      <c r="A13" s="190"/>
      <c r="B13" s="191" t="s">
        <v>173</v>
      </c>
      <c r="C13" s="1"/>
      <c r="D13" s="192" t="n">
        <f aca="false">RADIANS(MOD(D12-180,-360)+180)</f>
        <v>1.74532925200266E-005</v>
      </c>
      <c r="E13" s="192" t="n">
        <f aca="false">RADIANS(MOD(E12-180,-360)+180)</f>
        <v>0.261799387799149</v>
      </c>
      <c r="F13" s="192" t="n">
        <f aca="false">RADIANS(MOD(F12-180,-360)+180)</f>
        <v>0.523598775598299</v>
      </c>
      <c r="G13" s="192" t="n">
        <f aca="false">RADIANS(MOD(G12-180,-360)+180)</f>
        <v>0.785398163397448</v>
      </c>
      <c r="H13" s="192" t="n">
        <f aca="false">RADIANS(MOD(H12-180,-360)+180)</f>
        <v>1.0471975511966</v>
      </c>
      <c r="I13" s="192" t="n">
        <f aca="false">RADIANS(MOD(I12-180,-360)+180)</f>
        <v>1.30899693899575</v>
      </c>
      <c r="J13" s="192" t="n">
        <f aca="false">RADIANS(MOD(J12-180,-360)+180)</f>
        <v>1.5707963267949</v>
      </c>
      <c r="K13" s="192" t="n">
        <f aca="false">RADIANS(MOD(K12-180,-360)+180)</f>
        <v>1.83259571459405</v>
      </c>
      <c r="L13" s="192" t="n">
        <f aca="false">RADIANS(MOD(L12-180,-360)+180)</f>
        <v>2.0943951023932</v>
      </c>
      <c r="M13" s="192" t="n">
        <f aca="false">RADIANS(MOD(M12-180,-360)+180)</f>
        <v>2.35619449019234</v>
      </c>
      <c r="N13" s="192" t="n">
        <f aca="false">RADIANS(MOD(N12-180,-360)+180)</f>
        <v>2.61799387799149</v>
      </c>
      <c r="O13" s="192" t="n">
        <f aca="false">RADIANS(MOD(O12-180,-360)+180)</f>
        <v>2.87979326579064</v>
      </c>
      <c r="P13" s="192" t="n">
        <f aca="false">RADIANS(MOD(P12-180,-360)+180)</f>
        <v>3.14159265358979</v>
      </c>
      <c r="Q13" s="193" t="n">
        <f aca="false">RADIANS(MOD(Q12-180,-360)+180)</f>
        <v>-2.87979326579064</v>
      </c>
      <c r="R13" s="193" t="n">
        <f aca="false">RADIANS(MOD(R12-180,-360)+180)</f>
        <v>-2.61799387799149</v>
      </c>
      <c r="S13" s="193" t="n">
        <f aca="false">RADIANS(MOD(S12-180,-360)+180)</f>
        <v>-2.35619449019234</v>
      </c>
      <c r="T13" s="193" t="n">
        <f aca="false">RADIANS(MOD(T12-180,-360)+180)</f>
        <v>-2.0943951023932</v>
      </c>
      <c r="U13" s="193" t="n">
        <f aca="false">RADIANS(MOD(U12-180,-360)+180)</f>
        <v>-1.83259571459405</v>
      </c>
      <c r="V13" s="193" t="n">
        <f aca="false">RADIANS(MOD(V12-180,-360)+180)</f>
        <v>-1.5707963267949</v>
      </c>
      <c r="W13" s="193" t="n">
        <f aca="false">RADIANS(MOD(W12-180,-360)+180)</f>
        <v>-1.30899693899575</v>
      </c>
      <c r="X13" s="193" t="n">
        <f aca="false">RADIANS(MOD(X12-180,-360)+180)</f>
        <v>-1.0471975511966</v>
      </c>
      <c r="Y13" s="193" t="n">
        <f aca="false">RADIANS(MOD(Y12-180,-360)+180)</f>
        <v>-0.785398163397448</v>
      </c>
      <c r="Z13" s="193" t="n">
        <f aca="false">RADIANS(MOD(Z12-180,-360)+180)</f>
        <v>-0.523598775598299</v>
      </c>
      <c r="AA13" s="193" t="n">
        <f aca="false">RADIANS(MOD(AA12-180,-360)+180)</f>
        <v>-0.261799387799149</v>
      </c>
      <c r="AB13" s="193" t="n">
        <f aca="false">RADIANS(MOD(AB12-180,-360)+180)</f>
        <v>-0.000174532925199274</v>
      </c>
      <c r="AC13" s="193" t="n">
        <f aca="false">RADIANS(MOD(AC12-180,-360)+180)</f>
        <v>0</v>
      </c>
      <c r="AD13" s="193" t="n">
        <f aca="false">RADIANS(MOD(AD12-180,-360)+180)</f>
        <v>0</v>
      </c>
      <c r="AE13" s="1"/>
      <c r="AF13" s="1"/>
      <c r="AG13" s="1"/>
      <c r="AH13" s="1"/>
      <c r="AI13" s="1"/>
      <c r="AJ13" s="1"/>
      <c r="AK13" s="1"/>
      <c r="AL13" s="1"/>
    </row>
    <row r="14" customFormat="false" ht="12.75" hidden="false" customHeight="true" outlineLevel="0" collapsed="false">
      <c r="A14" s="192" t="n">
        <f aca="false">RADIANS(MOD(B14-180,-360)+180)</f>
        <v>1.74532925200266E-005</v>
      </c>
      <c r="B14" s="188" t="n">
        <v>0.001</v>
      </c>
      <c r="C14" s="1"/>
      <c r="D14" s="194" t="n">
        <f aca="false">IF(OR((D$13)="",($A14)=""),"- -",DEGREES( ACOS( COS(D$13)  *  COS($A14))))</f>
        <v>0.00141421361485823</v>
      </c>
      <c r="E14" s="194" t="n">
        <f aca="false">IF(OR((E$13)="",($A14)=""),"- -",DEGREES( ACOS( COS(E$13)  *  COS($A14))))</f>
        <v>15.0000000325683</v>
      </c>
      <c r="F14" s="194" t="n">
        <f aca="false">IF(OR((F$13)="",($A14)=""),"- -",DEGREES( ACOS( COS(F$13)  *  COS($A14))))</f>
        <v>30.000000015115</v>
      </c>
      <c r="G14" s="194" t="n">
        <f aca="false">IF(OR((G$13)="",($A14)=""),"- -",DEGREES( ACOS( COS(G$13)  *  COS($A14))))</f>
        <v>45.0000000087267</v>
      </c>
      <c r="H14" s="194" t="n">
        <f aca="false">IF(OR((H$13)="",($A14)=""),"- -",DEGREES( ACOS( COS(H$13)  *  COS($A14))))</f>
        <v>60.0000000050383</v>
      </c>
      <c r="I14" s="194" t="n">
        <f aca="false">IF(OR((I$13)="",($A14)=""),"- -",DEGREES( ACOS( COS(I$13)  *  COS($A14))))</f>
        <v>75.0000000023383</v>
      </c>
      <c r="J14" s="194" t="n">
        <f aca="false">IF(OR((J$13)="",($A14)=""),"- -",DEGREES( ACOS( COS(J$13)  *  COS($A14))))</f>
        <v>90</v>
      </c>
      <c r="K14" s="194" t="n">
        <f aca="false">IF(OR((K$13)="",($A14)=""),"- -",DEGREES( ACOS( COS(K$13)  *  COS($A14))))</f>
        <v>104.999999997662</v>
      </c>
      <c r="L14" s="194" t="n">
        <f aca="false">IF(OR((L$13)="",($A14)=""),"- -",DEGREES( ACOS( COS(L$13)  *  COS($A14))))</f>
        <v>119.999999994962</v>
      </c>
      <c r="M14" s="194" t="n">
        <f aca="false">IF(OR((M$13)="",($A14)=""),"- -",DEGREES( ACOS( COS(M$13)  *  COS($A14))))</f>
        <v>134.999999991273</v>
      </c>
      <c r="N14" s="194" t="n">
        <f aca="false">IF(OR((N$13)="",($A14)=""),"- -",DEGREES( ACOS( COS(N$13)  *  COS($A14))))</f>
        <v>149.999999984885</v>
      </c>
      <c r="O14" s="194" t="n">
        <f aca="false">IF(OR((O$13)="",($A14)=""),"- -",DEGREES( ACOS( COS(O$13)  *  COS($A14))))</f>
        <v>164.999999967432</v>
      </c>
      <c r="P14" s="194" t="n">
        <f aca="false">IF(OR((P$13)="",($A14)=""),"- -",DEGREES( ACOS( COS(P$13)  *  COS($A14))))</f>
        <v>179.998999999963</v>
      </c>
      <c r="Q14" s="194" t="n">
        <f aca="false">IF(OR((Q$13)="",($A14)=""),"- -",DEGREES( ACOS( COS(Q$13)  *  COS($A14))))</f>
        <v>164.999999967432</v>
      </c>
      <c r="R14" s="194" t="n">
        <f aca="false">IF(OR((R$13)="",($A14)=""),"- -",DEGREES( ACOS( COS(R$13)  *  COS($A14))))</f>
        <v>149.999999984885</v>
      </c>
      <c r="S14" s="194" t="n">
        <f aca="false">IF(OR((S$13)="",($A14)=""),"- -",DEGREES( ACOS( COS(S$13)  *  COS($A14))))</f>
        <v>134.999999991273</v>
      </c>
      <c r="T14" s="194" t="n">
        <f aca="false">IF(OR((T$13)="",($A14)=""),"- -",DEGREES( ACOS( COS(T$13)  *  COS($A14))))</f>
        <v>119.999999994962</v>
      </c>
      <c r="U14" s="194" t="n">
        <f aca="false">IF(OR((U$13)="",($A14)=""),"- -",DEGREES( ACOS( COS(U$13)  *  COS($A14))))</f>
        <v>104.999999997662</v>
      </c>
      <c r="V14" s="194" t="n">
        <f aca="false">IF(OR((V$13)="",($A14)=""),"- -",DEGREES( ACOS( COS(V$13)  *  COS($A14))))</f>
        <v>90</v>
      </c>
      <c r="W14" s="194" t="n">
        <f aca="false">IF(OR((W$13)="",($A14)=""),"- -",DEGREES( ACOS( COS(W$13)  *  COS($A14))))</f>
        <v>75.0000000023383</v>
      </c>
      <c r="X14" s="194" t="n">
        <f aca="false">IF(OR((X$13)="",($A14)=""),"- -",DEGREES( ACOS( COS(X$13)  *  COS($A14))))</f>
        <v>60.0000000050383</v>
      </c>
      <c r="Y14" s="194" t="n">
        <f aca="false">IF(OR((Y$13)="",($A14)=""),"- -",DEGREES( ACOS( COS(Y$13)  *  COS($A14))))</f>
        <v>45.0000000087267</v>
      </c>
      <c r="Z14" s="194" t="n">
        <f aca="false">IF(OR((Z$13)="",($A14)=""),"- -",DEGREES( ACOS( COS(Z$13)  *  COS($A14))))</f>
        <v>30.000000015115</v>
      </c>
      <c r="AA14" s="194" t="n">
        <f aca="false">IF(OR((AA$13)="",($A14)=""),"- -",DEGREES( ACOS( COS(AA$13)  *  COS($A14))))</f>
        <v>15.0000000325683</v>
      </c>
      <c r="AB14" s="194" t="n">
        <f aca="false">IF(OR((AB$13)="",($A14)=""),"- -",DEGREES( ACOS( COS(AB$13)  *  COS($A14))))</f>
        <v>0.0100498756078044</v>
      </c>
      <c r="AC14" s="195" t="n">
        <f aca="false">IF(OR((AC$13)="",($A14)=""),"- -",DEGREES( ACOS( COS(AC$13)  *  COS($A14))))</f>
        <v>0.0010000000370999</v>
      </c>
      <c r="AD14" s="195" t="n">
        <f aca="false">IF(OR((AD$13)="",($A14)=""),"- -",DEGREES( ACOS( COS(AD$13)  *  COS($A14))))</f>
        <v>0.0010000000370999</v>
      </c>
      <c r="AE14" s="195"/>
      <c r="AF14" s="196" t="str">
        <f aca="false">IF(OR((AF$13)="",($A14)=""),"- -",DEGREES( ACOS( COS(AF$13)  *  COS($A14))))</f>
        <v>- -</v>
      </c>
      <c r="AG14" s="1"/>
      <c r="AH14" s="1"/>
      <c r="AI14" s="1"/>
      <c r="AJ14" s="1"/>
      <c r="AK14" s="1"/>
      <c r="AL14" s="1"/>
    </row>
    <row r="15" customFormat="false" ht="12.75" hidden="false" customHeight="true" outlineLevel="0" collapsed="false">
      <c r="A15" s="192" t="n">
        <f aca="false">RADIANS(MOD(B15-180,-360)+180)</f>
        <v>0.261799387799149</v>
      </c>
      <c r="B15" s="182" t="n">
        <v>15</v>
      </c>
      <c r="C15" s="1"/>
      <c r="D15" s="194" t="n">
        <f aca="false">IF(OR((D$13)="",($A15)=""),"- -",DEGREES( ACOS( COS(D$13)  *  COS($A15))))</f>
        <v>15.0000000325683</v>
      </c>
      <c r="E15" s="197" t="n">
        <f aca="false">IF(OR((E$13)="",($A15)=""),"- -",DEGREES( ACOS( COS(E$13)  *  COS($A15))))</f>
        <v>21.0905811789991</v>
      </c>
      <c r="F15" s="197" t="n">
        <f aca="false">IF(OR((F$13)="",($A15)=""),"- -",DEGREES( ACOS( COS(F$13)  *  COS($A15))))</f>
        <v>33.2259422032876</v>
      </c>
      <c r="G15" s="197" t="n">
        <f aca="false">IF(OR((G$13)="",($A15)=""),"- -",DEGREES( ACOS( COS(G$13)  *  COS($A15))))</f>
        <v>46.9204828581291</v>
      </c>
      <c r="H15" s="197" t="n">
        <f aca="false">IF(OR((H$13)="",($A15)=""),"- -",DEGREES( ACOS( COS(H$13)  *  COS($A15))))</f>
        <v>61.1209059825724</v>
      </c>
      <c r="I15" s="197" t="n">
        <f aca="false">IF(OR((I$13)="",($A15)=""),"- -",DEGREES( ACOS( COS(I$13)  *  COS($A15))))</f>
        <v>75.5224878140701</v>
      </c>
      <c r="J15" s="194" t="n">
        <f aca="false">IF(OR((J$13)="",($A15)=""),"- -",DEGREES( ACOS( COS(J$13)  *  COS($A15))))</f>
        <v>90</v>
      </c>
      <c r="K15" s="197" t="n">
        <f aca="false">IF(OR((K$13)="",($A15)=""),"- -",DEGREES( ACOS( COS(K$13)  *  COS($A15))))</f>
        <v>104.47751218593</v>
      </c>
      <c r="L15" s="197" t="n">
        <f aca="false">IF(OR((L$13)="",($A15)=""),"- -",DEGREES( ACOS( COS(L$13)  *  COS($A15))))</f>
        <v>118.879094017428</v>
      </c>
      <c r="M15" s="197" t="n">
        <f aca="false">IF(OR((M$13)="",($A15)=""),"- -",DEGREES( ACOS( COS(M$13)  *  COS($A15))))</f>
        <v>133.079517141871</v>
      </c>
      <c r="N15" s="197" t="n">
        <f aca="false">IF(OR((N$13)="",($A15)=""),"- -",DEGREES( ACOS( COS(N$13)  *  COS($A15))))</f>
        <v>146.774057796712</v>
      </c>
      <c r="O15" s="197" t="n">
        <f aca="false">IF(OR((O$13)="",($A15)=""),"- -",DEGREES( ACOS( COS(O$13)  *  COS($A15))))</f>
        <v>158.909418821001</v>
      </c>
      <c r="P15" s="194" t="n">
        <f aca="false">IF(OR((P$13)="",($A15)=""),"- -",DEGREES( ACOS( COS(P$13)  *  COS($A15))))</f>
        <v>165</v>
      </c>
      <c r="Q15" s="197" t="n">
        <f aca="false">IF(OR((Q$13)="",($A15)=""),"- -",DEGREES( ACOS( COS(Q$13)  *  COS($A15))))</f>
        <v>158.909418821001</v>
      </c>
      <c r="R15" s="197" t="n">
        <f aca="false">IF(OR((R$13)="",($A15)=""),"- -",DEGREES( ACOS( COS(R$13)  *  COS($A15))))</f>
        <v>146.774057796712</v>
      </c>
      <c r="S15" s="197" t="n">
        <f aca="false">IF(OR((S$13)="",($A15)=""),"- -",DEGREES( ACOS( COS(S$13)  *  COS($A15))))</f>
        <v>133.079517141871</v>
      </c>
      <c r="T15" s="197" t="n">
        <f aca="false">IF(OR((T$13)="",($A15)=""),"- -",DEGREES( ACOS( COS(T$13)  *  COS($A15))))</f>
        <v>118.879094017428</v>
      </c>
      <c r="U15" s="197" t="n">
        <f aca="false">IF(OR((U$13)="",($A15)=""),"- -",DEGREES( ACOS( COS(U$13)  *  COS($A15))))</f>
        <v>104.47751218593</v>
      </c>
      <c r="V15" s="194" t="n">
        <f aca="false">IF(OR((V$13)="",($A15)=""),"- -",DEGREES( ACOS( COS(V$13)  *  COS($A15))))</f>
        <v>90</v>
      </c>
      <c r="W15" s="197" t="n">
        <f aca="false">IF(OR((W$13)="",($A15)=""),"- -",DEGREES( ACOS( COS(W$13)  *  COS($A15))))</f>
        <v>75.5224878140701</v>
      </c>
      <c r="X15" s="197" t="n">
        <f aca="false">IF(OR((X$13)="",($A15)=""),"- -",DEGREES( ACOS( COS(X$13)  *  COS($A15))))</f>
        <v>61.1209059825724</v>
      </c>
      <c r="Y15" s="197" t="n">
        <f aca="false">IF(OR((Y$13)="",($A15)=""),"- -",DEGREES( ACOS( COS(Y$13)  *  COS($A15))))</f>
        <v>46.9204828581291</v>
      </c>
      <c r="Z15" s="197" t="n">
        <f aca="false">IF(OR((Z$13)="",($A15)=""),"- -",DEGREES( ACOS( COS(Z$13)  *  COS($A15))))</f>
        <v>33.2259422032876</v>
      </c>
      <c r="AA15" s="197" t="n">
        <f aca="false">IF(OR((AA$13)="",($A15)=""),"- -",DEGREES( ACOS( COS(AA$13)  *  COS($A15))))</f>
        <v>21.0905811789991</v>
      </c>
      <c r="AB15" s="194" t="n">
        <f aca="false">IF(OR((AB$13)="",($A15)=""),"- -",DEGREES( ACOS( COS(AB$13)  *  COS($A15))))</f>
        <v>15.0000032568284</v>
      </c>
      <c r="AC15" s="195" t="n">
        <f aca="false">IF(OR((AC$13)="",($A15)=""),"- -",DEGREES( ACOS( COS(AC$13)  *  COS($A15))))</f>
        <v>15</v>
      </c>
      <c r="AD15" s="195" t="n">
        <f aca="false">IF(OR((AD$13)="",($A15)=""),"- -",DEGREES( ACOS( COS(AD$13)  *  COS($A15))))</f>
        <v>15</v>
      </c>
      <c r="AE15" s="1"/>
      <c r="AF15" s="196" t="str">
        <f aca="false">IF(OR((AF$13)="",($A15)=""),"- -",DEGREES( ACOS( COS(AF$13)  *  COS($A15))))</f>
        <v>- -</v>
      </c>
      <c r="AG15" s="1"/>
      <c r="AH15" s="1"/>
      <c r="AI15" s="1"/>
      <c r="AJ15" s="1"/>
      <c r="AK15" s="1"/>
      <c r="AL15" s="1"/>
    </row>
    <row r="16" customFormat="false" ht="12.75" hidden="false" customHeight="true" outlineLevel="0" collapsed="false">
      <c r="A16" s="192" t="n">
        <f aca="false">RADIANS(MOD(B16-180,-360)+180)</f>
        <v>0.523598775598299</v>
      </c>
      <c r="B16" s="182" t="n">
        <v>30</v>
      </c>
      <c r="C16" s="1"/>
      <c r="D16" s="194" t="n">
        <f aca="false">IF(OR((D$13)="",($A16)=""),"- -",DEGREES( ACOS( COS(D$13)  *  COS($A16))))</f>
        <v>30.000000015115</v>
      </c>
      <c r="E16" s="197" t="n">
        <f aca="false">IF(OR((E$13)="",($A16)=""),"- -",DEGREES( ACOS( COS(E$13)  *  COS($A16))))</f>
        <v>33.2259422032876</v>
      </c>
      <c r="F16" s="197" t="n">
        <f aca="false">IF(OR((F$13)="",($A16)=""),"- -",DEGREES( ACOS( COS(F$13)  *  COS($A16))))</f>
        <v>41.4096221092709</v>
      </c>
      <c r="G16" s="197" t="n">
        <f aca="false">IF(OR((G$13)="",($A16)=""),"- -",DEGREES( ACOS( COS(G$13)  *  COS($A16))))</f>
        <v>52.238756092965</v>
      </c>
      <c r="H16" s="197" t="n">
        <f aca="false">IF(OR((H$13)="",($A16)=""),"- -",DEGREES( ACOS( COS(H$13)  *  COS($A16))))</f>
        <v>64.3410937267447</v>
      </c>
      <c r="I16" s="197" t="n">
        <f aca="false">IF(OR((I$13)="",($A16)=""),"- -",DEGREES( ACOS( COS(I$13)  *  COS($A16))))</f>
        <v>77.0474603577776</v>
      </c>
      <c r="J16" s="194" t="n">
        <f aca="false">IF(OR((J$13)="",($A16)=""),"- -",DEGREES( ACOS( COS(J$13)  *  COS($A16))))</f>
        <v>90</v>
      </c>
      <c r="K16" s="197" t="n">
        <f aca="false">IF(OR((K$13)="",($A16)=""),"- -",DEGREES( ACOS( COS(K$13)  *  COS($A16))))</f>
        <v>102.952539642222</v>
      </c>
      <c r="L16" s="197" t="n">
        <f aca="false">IF(OR((L$13)="",($A16)=""),"- -",DEGREES( ACOS( COS(L$13)  *  COS($A16))))</f>
        <v>115.658906273255</v>
      </c>
      <c r="M16" s="197" t="n">
        <f aca="false">IF(OR((M$13)="",($A16)=""),"- -",DEGREES( ACOS( COS(M$13)  *  COS($A16))))</f>
        <v>127.761243907035</v>
      </c>
      <c r="N16" s="197" t="n">
        <f aca="false">IF(OR((N$13)="",($A16)=""),"- -",DEGREES( ACOS( COS(N$13)  *  COS($A16))))</f>
        <v>138.590377890729</v>
      </c>
      <c r="O16" s="197" t="n">
        <f aca="false">IF(OR((O$13)="",($A16)=""),"- -",DEGREES( ACOS( COS(O$13)  *  COS($A16))))</f>
        <v>146.774057796712</v>
      </c>
      <c r="P16" s="194" t="n">
        <f aca="false">IF(OR((P$13)="",($A16)=""),"- -",DEGREES( ACOS( COS(P$13)  *  COS($A16))))</f>
        <v>150</v>
      </c>
      <c r="Q16" s="197" t="n">
        <f aca="false">IF(OR((Q$13)="",($A16)=""),"- -",DEGREES( ACOS( COS(Q$13)  *  COS($A16))))</f>
        <v>146.774057796712</v>
      </c>
      <c r="R16" s="197" t="n">
        <f aca="false">IF(OR((R$13)="",($A16)=""),"- -",DEGREES( ACOS( COS(R$13)  *  COS($A16))))</f>
        <v>138.590377890729</v>
      </c>
      <c r="S16" s="197" t="n">
        <f aca="false">IF(OR((S$13)="",($A16)=""),"- -",DEGREES( ACOS( COS(S$13)  *  COS($A16))))</f>
        <v>127.761243907035</v>
      </c>
      <c r="T16" s="197" t="n">
        <f aca="false">IF(OR((T$13)="",($A16)=""),"- -",DEGREES( ACOS( COS(T$13)  *  COS($A16))))</f>
        <v>115.658906273255</v>
      </c>
      <c r="U16" s="197" t="n">
        <f aca="false">IF(OR((U$13)="",($A16)=""),"- -",DEGREES( ACOS( COS(U$13)  *  COS($A16))))</f>
        <v>102.952539642222</v>
      </c>
      <c r="V16" s="194" t="n">
        <f aca="false">IF(OR((V$13)="",($A16)=""),"- -",DEGREES( ACOS( COS(V$13)  *  COS($A16))))</f>
        <v>90</v>
      </c>
      <c r="W16" s="197" t="n">
        <f aca="false">IF(OR((W$13)="",($A16)=""),"- -",DEGREES( ACOS( COS(W$13)  *  COS($A16))))</f>
        <v>77.0474603577776</v>
      </c>
      <c r="X16" s="197" t="n">
        <f aca="false">IF(OR((X$13)="",($A16)=""),"- -",DEGREES( ACOS( COS(X$13)  *  COS($A16))))</f>
        <v>64.3410937267447</v>
      </c>
      <c r="Y16" s="197" t="n">
        <f aca="false">IF(OR((Y$13)="",($A16)=""),"- -",DEGREES( ACOS( COS(Y$13)  *  COS($A16))))</f>
        <v>52.238756092965</v>
      </c>
      <c r="Z16" s="197" t="n">
        <f aca="false">IF(OR((Z$13)="",($A16)=""),"- -",DEGREES( ACOS( COS(Z$13)  *  COS($A16))))</f>
        <v>41.4096221092709</v>
      </c>
      <c r="AA16" s="197" t="n">
        <f aca="false">IF(OR((AA$13)="",($A16)=""),"- -",DEGREES( ACOS( COS(AA$13)  *  COS($A16))))</f>
        <v>33.2259422032876</v>
      </c>
      <c r="AB16" s="194" t="n">
        <f aca="false">IF(OR((AB$13)="",($A16)=""),"- -",DEGREES( ACOS( COS(AB$13)  *  COS($A16))))</f>
        <v>30.0000015114994</v>
      </c>
      <c r="AC16" s="195" t="n">
        <f aca="false">IF(OR((AC$13)="",($A16)=""),"- -",DEGREES( ACOS( COS(AC$13)  *  COS($A16))))</f>
        <v>30</v>
      </c>
      <c r="AD16" s="195" t="n">
        <f aca="false">IF(OR((AD$13)="",($A16)=""),"- -",DEGREES( ACOS( COS(AD$13)  *  COS($A16))))</f>
        <v>30</v>
      </c>
      <c r="AE16" s="1"/>
      <c r="AF16" s="196" t="str">
        <f aca="false">IF(OR((AF$13)="",($A16)=""),"- -",DEGREES( ACOS( COS(AF$13)  *  COS($A16))))</f>
        <v>- -</v>
      </c>
      <c r="AG16" s="1"/>
      <c r="AH16" s="1"/>
      <c r="AI16" s="1"/>
      <c r="AJ16" s="1"/>
      <c r="AK16" s="1"/>
      <c r="AL16" s="1"/>
    </row>
    <row r="17" customFormat="false" ht="12.75" hidden="false" customHeight="true" outlineLevel="0" collapsed="false">
      <c r="A17" s="192" t="n">
        <f aca="false">RADIANS(MOD(B17-180,-360)+180)</f>
        <v>0.785398163397448</v>
      </c>
      <c r="B17" s="182" t="n">
        <v>45</v>
      </c>
      <c r="C17" s="1"/>
      <c r="D17" s="194" t="n">
        <f aca="false">IF(OR((D$13)="",($A17)=""),"- -",DEGREES( ACOS( COS(D$13)  *  COS($A17))))</f>
        <v>45.0000000087267</v>
      </c>
      <c r="E17" s="197" t="n">
        <f aca="false">IF(OR((E$13)="",($A17)=""),"- -",DEGREES( ACOS( COS(E$13)  *  COS($A17))))</f>
        <v>46.9204828581291</v>
      </c>
      <c r="F17" s="197" t="n">
        <f aca="false">IF(OR((F$13)="",($A17)=""),"- -",DEGREES( ACOS( COS(F$13)  *  COS($A17))))</f>
        <v>52.238756092965</v>
      </c>
      <c r="G17" s="197" t="n">
        <f aca="false">IF(OR((G$13)="",($A17)=""),"- -",DEGREES( ACOS( COS(G$13)  *  COS($A17))))</f>
        <v>60</v>
      </c>
      <c r="H17" s="197" t="n">
        <f aca="false">IF(OR((H$13)="",($A17)=""),"- -",DEGREES( ACOS( COS(H$13)  *  COS($A17))))</f>
        <v>69.2951889453646</v>
      </c>
      <c r="I17" s="197" t="n">
        <f aca="false">IF(OR((I$13)="",($A17)=""),"- -",DEGREES( ACOS( COS(I$13)  *  COS($A17))))</f>
        <v>79.4547094105004</v>
      </c>
      <c r="J17" s="194" t="n">
        <f aca="false">IF(OR((J$13)="",($A17)=""),"- -",DEGREES( ACOS( COS(J$13)  *  COS($A17))))</f>
        <v>90</v>
      </c>
      <c r="K17" s="197" t="n">
        <f aca="false">IF(OR((K$13)="",($A17)=""),"- -",DEGREES( ACOS( COS(K$13)  *  COS($A17))))</f>
        <v>100.5452905895</v>
      </c>
      <c r="L17" s="197" t="n">
        <f aca="false">IF(OR((L$13)="",($A17)=""),"- -",DEGREES( ACOS( COS(L$13)  *  COS($A17))))</f>
        <v>110.704811054635</v>
      </c>
      <c r="M17" s="197" t="n">
        <f aca="false">IF(OR((M$13)="",($A17)=""),"- -",DEGREES( ACOS( COS(M$13)  *  COS($A17))))</f>
        <v>120</v>
      </c>
      <c r="N17" s="197" t="n">
        <f aca="false">IF(OR((N$13)="",($A17)=""),"- -",DEGREES( ACOS( COS(N$13)  *  COS($A17))))</f>
        <v>127.761243907035</v>
      </c>
      <c r="O17" s="197" t="n">
        <f aca="false">IF(OR((O$13)="",($A17)=""),"- -",DEGREES( ACOS( COS(O$13)  *  COS($A17))))</f>
        <v>133.079517141871</v>
      </c>
      <c r="P17" s="194" t="n">
        <f aca="false">IF(OR((P$13)="",($A17)=""),"- -",DEGREES( ACOS( COS(P$13)  *  COS($A17))))</f>
        <v>135</v>
      </c>
      <c r="Q17" s="197" t="n">
        <f aca="false">IF(OR((Q$13)="",($A17)=""),"- -",DEGREES( ACOS( COS(Q$13)  *  COS($A17))))</f>
        <v>133.079517141871</v>
      </c>
      <c r="R17" s="197" t="n">
        <f aca="false">IF(OR((R$13)="",($A17)=""),"- -",DEGREES( ACOS( COS(R$13)  *  COS($A17))))</f>
        <v>127.761243907035</v>
      </c>
      <c r="S17" s="197" t="n">
        <f aca="false">IF(OR((S$13)="",($A17)=""),"- -",DEGREES( ACOS( COS(S$13)  *  COS($A17))))</f>
        <v>120</v>
      </c>
      <c r="T17" s="197" t="n">
        <f aca="false">IF(OR((T$13)="",($A17)=""),"- -",DEGREES( ACOS( COS(T$13)  *  COS($A17))))</f>
        <v>110.704811054635</v>
      </c>
      <c r="U17" s="197" t="n">
        <f aca="false">IF(OR((U$13)="",($A17)=""),"- -",DEGREES( ACOS( COS(U$13)  *  COS($A17))))</f>
        <v>100.5452905895</v>
      </c>
      <c r="V17" s="194" t="n">
        <f aca="false">IF(OR((V$13)="",($A17)=""),"- -",DEGREES( ACOS( COS(V$13)  *  COS($A17))))</f>
        <v>90</v>
      </c>
      <c r="W17" s="197" t="n">
        <f aca="false">IF(OR((W$13)="",($A17)=""),"- -",DEGREES( ACOS( COS(W$13)  *  COS($A17))))</f>
        <v>79.4547094105004</v>
      </c>
      <c r="X17" s="197" t="n">
        <f aca="false">IF(OR((X$13)="",($A17)=""),"- -",DEGREES( ACOS( COS(X$13)  *  COS($A17))))</f>
        <v>69.2951889453646</v>
      </c>
      <c r="Y17" s="197" t="n">
        <f aca="false">IF(OR((Y$13)="",($A17)=""),"- -",DEGREES( ACOS( COS(Y$13)  *  COS($A17))))</f>
        <v>60</v>
      </c>
      <c r="Z17" s="197" t="n">
        <f aca="false">IF(OR((Z$13)="",($A17)=""),"- -",DEGREES( ACOS( COS(Z$13)  *  COS($A17))))</f>
        <v>52.238756092965</v>
      </c>
      <c r="AA17" s="197" t="n">
        <f aca="false">IF(OR((AA$13)="",($A17)=""),"- -",DEGREES( ACOS( COS(AA$13)  *  COS($A17))))</f>
        <v>46.9204828581291</v>
      </c>
      <c r="AB17" s="194" t="n">
        <f aca="false">IF(OR((AB$13)="",($A17)=""),"- -",DEGREES( ACOS( COS(AB$13)  *  COS($A17))))</f>
        <v>45.0000008726646</v>
      </c>
      <c r="AC17" s="195" t="n">
        <f aca="false">IF(OR((AC$13)="",($A17)=""),"- -",DEGREES( ACOS( COS(AC$13)  *  COS($A17))))</f>
        <v>45</v>
      </c>
      <c r="AD17" s="195" t="n">
        <f aca="false">IF(OR((AD$13)="",($A17)=""),"- -",DEGREES( ACOS( COS(AD$13)  *  COS($A17))))</f>
        <v>45</v>
      </c>
      <c r="AE17" s="1"/>
      <c r="AF17" s="196" t="str">
        <f aca="false">IF(OR((AF$13)="",($A17)=""),"- -",DEGREES( ACOS( COS(AF$13)  *  COS($A17))))</f>
        <v>- -</v>
      </c>
      <c r="AG17" s="1"/>
      <c r="AH17" s="1"/>
      <c r="AI17" s="1"/>
      <c r="AJ17" s="1"/>
      <c r="AK17" s="1"/>
      <c r="AL17" s="1"/>
    </row>
    <row r="18" customFormat="false" ht="12.75" hidden="false" customHeight="true" outlineLevel="0" collapsed="false">
      <c r="A18" s="192" t="n">
        <f aca="false">RADIANS(MOD(B18-180,-360)+180)</f>
        <v>1.0471975511966</v>
      </c>
      <c r="B18" s="182" t="n">
        <v>60</v>
      </c>
      <c r="C18" s="1"/>
      <c r="D18" s="194" t="n">
        <f aca="false">IF(OR((D$13)="",($A18)=""),"- -",DEGREES( ACOS( COS(D$13)  *  COS($A18))))</f>
        <v>60.0000000050383</v>
      </c>
      <c r="E18" s="197" t="n">
        <f aca="false">IF(OR((E$13)="",($A18)=""),"- -",DEGREES( ACOS( COS(E$13)  *  COS($A18))))</f>
        <v>61.1209059825724</v>
      </c>
      <c r="F18" s="197" t="n">
        <f aca="false">IF(OR((F$13)="",($A18)=""),"- -",DEGREES( ACOS( COS(F$13)  *  COS($A18))))</f>
        <v>64.3410937267447</v>
      </c>
      <c r="G18" s="197" t="n">
        <f aca="false">IF(OR((G$13)="",($A18)=""),"- -",DEGREES( ACOS( COS(G$13)  *  COS($A18))))</f>
        <v>69.2951889453646</v>
      </c>
      <c r="H18" s="197" t="n">
        <f aca="false">IF(OR((H$13)="",($A18)=""),"- -",DEGREES( ACOS( COS(H$13)  *  COS($A18))))</f>
        <v>75.5224878140701</v>
      </c>
      <c r="I18" s="197" t="n">
        <f aca="false">IF(OR((I$13)="",($A18)=""),"- -",DEGREES( ACOS( COS(I$13)  *  COS($A18))))</f>
        <v>82.5645277738682</v>
      </c>
      <c r="J18" s="194" t="n">
        <f aca="false">IF(OR((J$13)="",($A18)=""),"- -",DEGREES( ACOS( COS(J$13)  *  COS($A18))))</f>
        <v>90</v>
      </c>
      <c r="K18" s="197" t="n">
        <f aca="false">IF(OR((K$13)="",($A18)=""),"- -",DEGREES( ACOS( COS(K$13)  *  COS($A18))))</f>
        <v>97.4354722261319</v>
      </c>
      <c r="L18" s="197" t="n">
        <f aca="false">IF(OR((L$13)="",($A18)=""),"- -",DEGREES( ACOS( COS(L$13)  *  COS($A18))))</f>
        <v>104.47751218593</v>
      </c>
      <c r="M18" s="197" t="n">
        <f aca="false">IF(OR((M$13)="",($A18)=""),"- -",DEGREES( ACOS( COS(M$13)  *  COS($A18))))</f>
        <v>110.704811054635</v>
      </c>
      <c r="N18" s="197" t="n">
        <f aca="false">IF(OR((N$13)="",($A18)=""),"- -",DEGREES( ACOS( COS(N$13)  *  COS($A18))))</f>
        <v>115.658906273255</v>
      </c>
      <c r="O18" s="197" t="n">
        <f aca="false">IF(OR((O$13)="",($A18)=""),"- -",DEGREES( ACOS( COS(O$13)  *  COS($A18))))</f>
        <v>118.879094017428</v>
      </c>
      <c r="P18" s="194" t="n">
        <f aca="false">IF(OR((P$13)="",($A18)=""),"- -",DEGREES( ACOS( COS(P$13)  *  COS($A18))))</f>
        <v>120</v>
      </c>
      <c r="Q18" s="197" t="n">
        <f aca="false">IF(OR((Q$13)="",($A18)=""),"- -",DEGREES( ACOS( COS(Q$13)  *  COS($A18))))</f>
        <v>118.879094017428</v>
      </c>
      <c r="R18" s="197" t="n">
        <f aca="false">IF(OR((R$13)="",($A18)=""),"- -",DEGREES( ACOS( COS(R$13)  *  COS($A18))))</f>
        <v>115.658906273255</v>
      </c>
      <c r="S18" s="197" t="n">
        <f aca="false">IF(OR((S$13)="",($A18)=""),"- -",DEGREES( ACOS( COS(S$13)  *  COS($A18))))</f>
        <v>110.704811054635</v>
      </c>
      <c r="T18" s="197" t="n">
        <f aca="false">IF(OR((T$13)="",($A18)=""),"- -",DEGREES( ACOS( COS(T$13)  *  COS($A18))))</f>
        <v>104.47751218593</v>
      </c>
      <c r="U18" s="197" t="n">
        <f aca="false">IF(OR((U$13)="",($A18)=""),"- -",DEGREES( ACOS( COS(U$13)  *  COS($A18))))</f>
        <v>97.4354722261319</v>
      </c>
      <c r="V18" s="194" t="n">
        <f aca="false">IF(OR((V$13)="",($A18)=""),"- -",DEGREES( ACOS( COS(V$13)  *  COS($A18))))</f>
        <v>90</v>
      </c>
      <c r="W18" s="197" t="n">
        <f aca="false">IF(OR((W$13)="",($A18)=""),"- -",DEGREES( ACOS( COS(W$13)  *  COS($A18))))</f>
        <v>82.5645277738682</v>
      </c>
      <c r="X18" s="197" t="n">
        <f aca="false">IF(OR((X$13)="",($A18)=""),"- -",DEGREES( ACOS( COS(X$13)  *  COS($A18))))</f>
        <v>75.5224878140701</v>
      </c>
      <c r="Y18" s="197" t="n">
        <f aca="false">IF(OR((Y$13)="",($A18)=""),"- -",DEGREES( ACOS( COS(Y$13)  *  COS($A18))))</f>
        <v>69.2951889453646</v>
      </c>
      <c r="Z18" s="197" t="n">
        <f aca="false">IF(OR((Z$13)="",($A18)=""),"- -",DEGREES( ACOS( COS(Z$13)  *  COS($A18))))</f>
        <v>64.3410937267447</v>
      </c>
      <c r="AA18" s="197" t="n">
        <f aca="false">IF(OR((AA$13)="",($A18)=""),"- -",DEGREES( ACOS( COS(AA$13)  *  COS($A18))))</f>
        <v>61.1209059825724</v>
      </c>
      <c r="AB18" s="194" t="n">
        <f aca="false">IF(OR((AB$13)="",($A18)=""),"- -",DEGREES( ACOS( COS(AB$13)  *  COS($A18))))</f>
        <v>60.0000005038332</v>
      </c>
      <c r="AC18" s="195" t="n">
        <f aca="false">IF(OR((AC$13)="",($A18)=""),"- -",DEGREES( ACOS( COS(AC$13)  *  COS($A18))))</f>
        <v>60</v>
      </c>
      <c r="AD18" s="195" t="n">
        <f aca="false">IF(OR((AD$13)="",($A18)=""),"- -",DEGREES( ACOS( COS(AD$13)  *  COS($A18))))</f>
        <v>60</v>
      </c>
      <c r="AE18" s="1"/>
      <c r="AF18" s="196" t="str">
        <f aca="false">IF(OR((AF$13)="",($A18)=""),"- -",DEGREES( ACOS( COS(AF$13)  *  COS($A18))))</f>
        <v>- -</v>
      </c>
      <c r="AG18" s="1"/>
      <c r="AH18" s="1"/>
      <c r="AI18" s="1"/>
      <c r="AJ18" s="1"/>
      <c r="AK18" s="1"/>
      <c r="AL18" s="1"/>
    </row>
    <row r="19" customFormat="false" ht="12.75" hidden="false" customHeight="true" outlineLevel="0" collapsed="false">
      <c r="A19" s="192" t="n">
        <f aca="false">RADIANS(MOD(B19-180,-360)+180)</f>
        <v>1.30899693899575</v>
      </c>
      <c r="B19" s="182" t="n">
        <v>75</v>
      </c>
      <c r="C19" s="1"/>
      <c r="D19" s="194" t="n">
        <f aca="false">IF(OR((D$13)="",($A19)=""),"- -",DEGREES( ACOS( COS(D$13)  *  COS($A19))))</f>
        <v>75.0000000023383</v>
      </c>
      <c r="E19" s="197" t="n">
        <f aca="false">IF(OR((E$13)="",($A19)=""),"- -",DEGREES( ACOS( COS(E$13)  *  COS($A19))))</f>
        <v>75.5224878140701</v>
      </c>
      <c r="F19" s="197" t="n">
        <f aca="false">IF(OR((F$13)="",($A19)=""),"- -",DEGREES( ACOS( COS(F$13)  *  COS($A19))))</f>
        <v>77.0474603577776</v>
      </c>
      <c r="G19" s="197" t="n">
        <f aca="false">IF(OR((G$13)="",($A19)=""),"- -",DEGREES( ACOS( COS(G$13)  *  COS($A19))))</f>
        <v>79.4547094105004</v>
      </c>
      <c r="H19" s="197" t="n">
        <f aca="false">IF(OR((H$13)="",($A19)=""),"- -",DEGREES( ACOS( COS(H$13)  *  COS($A19))))</f>
        <v>82.5645277738682</v>
      </c>
      <c r="I19" s="197" t="n">
        <f aca="false">IF(OR((I$13)="",($A19)=""),"- -",DEGREES( ACOS( COS(I$13)  *  COS($A19))))</f>
        <v>86.1590342837419</v>
      </c>
      <c r="J19" s="194" t="n">
        <f aca="false">IF(OR((J$13)="",($A19)=""),"- -",DEGREES( ACOS( COS(J$13)  *  COS($A19))))</f>
        <v>90</v>
      </c>
      <c r="K19" s="197" t="n">
        <f aca="false">IF(OR((K$13)="",($A19)=""),"- -",DEGREES( ACOS( COS(K$13)  *  COS($A19))))</f>
        <v>93.8409657162582</v>
      </c>
      <c r="L19" s="197" t="n">
        <f aca="false">IF(OR((L$13)="",($A19)=""),"- -",DEGREES( ACOS( COS(L$13)  *  COS($A19))))</f>
        <v>97.4354722261319</v>
      </c>
      <c r="M19" s="197" t="n">
        <f aca="false">IF(OR((M$13)="",($A19)=""),"- -",DEGREES( ACOS( COS(M$13)  *  COS($A19))))</f>
        <v>100.5452905895</v>
      </c>
      <c r="N19" s="197" t="n">
        <f aca="false">IF(OR((N$13)="",($A19)=""),"- -",DEGREES( ACOS( COS(N$13)  *  COS($A19))))</f>
        <v>102.952539642222</v>
      </c>
      <c r="O19" s="197" t="n">
        <f aca="false">IF(OR((O$13)="",($A19)=""),"- -",DEGREES( ACOS( COS(O$13)  *  COS($A19))))</f>
        <v>104.47751218593</v>
      </c>
      <c r="P19" s="194" t="n">
        <f aca="false">IF(OR((P$13)="",($A19)=""),"- -",DEGREES( ACOS( COS(P$13)  *  COS($A19))))</f>
        <v>105</v>
      </c>
      <c r="Q19" s="197" t="n">
        <f aca="false">IF(OR((Q$13)="",($A19)=""),"- -",DEGREES( ACOS( COS(Q$13)  *  COS($A19))))</f>
        <v>104.47751218593</v>
      </c>
      <c r="R19" s="197" t="n">
        <f aca="false">IF(OR((R$13)="",($A19)=""),"- -",DEGREES( ACOS( COS(R$13)  *  COS($A19))))</f>
        <v>102.952539642222</v>
      </c>
      <c r="S19" s="197" t="n">
        <f aca="false">IF(OR((S$13)="",($A19)=""),"- -",DEGREES( ACOS( COS(S$13)  *  COS($A19))))</f>
        <v>100.5452905895</v>
      </c>
      <c r="T19" s="197" t="n">
        <f aca="false">IF(OR((T$13)="",($A19)=""),"- -",DEGREES( ACOS( COS(T$13)  *  COS($A19))))</f>
        <v>97.4354722261319</v>
      </c>
      <c r="U19" s="197" t="n">
        <f aca="false">IF(OR((U$13)="",($A19)=""),"- -",DEGREES( ACOS( COS(U$13)  *  COS($A19))))</f>
        <v>93.8409657162582</v>
      </c>
      <c r="V19" s="194" t="n">
        <f aca="false">IF(OR((V$13)="",($A19)=""),"- -",DEGREES( ACOS( COS(V$13)  *  COS($A19))))</f>
        <v>90</v>
      </c>
      <c r="W19" s="197" t="n">
        <f aca="false">IF(OR((W$13)="",($A19)=""),"- -",DEGREES( ACOS( COS(W$13)  *  COS($A19))))</f>
        <v>86.1590342837419</v>
      </c>
      <c r="X19" s="197" t="n">
        <f aca="false">IF(OR((X$13)="",($A19)=""),"- -",DEGREES( ACOS( COS(X$13)  *  COS($A19))))</f>
        <v>82.5645277738682</v>
      </c>
      <c r="Y19" s="197" t="n">
        <f aca="false">IF(OR((Y$13)="",($A19)=""),"- -",DEGREES( ACOS( COS(Y$13)  *  COS($A19))))</f>
        <v>79.4547094105004</v>
      </c>
      <c r="Z19" s="197" t="n">
        <f aca="false">IF(OR((Z$13)="",($A19)=""),"- -",DEGREES( ACOS( COS(Z$13)  *  COS($A19))))</f>
        <v>77.0474603577776</v>
      </c>
      <c r="AA19" s="197" t="n">
        <f aca="false">IF(OR((AA$13)="",($A19)=""),"- -",DEGREES( ACOS( COS(AA$13)  *  COS($A19))))</f>
        <v>75.5224878140701</v>
      </c>
      <c r="AB19" s="194" t="n">
        <f aca="false">IF(OR((AB$13)="",($A19)=""),"- -",DEGREES( ACOS( COS(AB$13)  *  COS($A19))))</f>
        <v>75.0000002338298</v>
      </c>
      <c r="AC19" s="195" t="n">
        <f aca="false">IF(OR((AC$13)="",($A19)=""),"- -",DEGREES( ACOS( COS(AC$13)  *  COS($A19))))</f>
        <v>75</v>
      </c>
      <c r="AD19" s="195" t="n">
        <f aca="false">IF(OR((AD$13)="",($A19)=""),"- -",DEGREES( ACOS( COS(AD$13)  *  COS($A19))))</f>
        <v>75</v>
      </c>
      <c r="AE19" s="1"/>
      <c r="AF19" s="196" t="str">
        <f aca="false">IF(OR((AF$13)="",($A19)=""),"- -",DEGREES( ACOS( COS(AF$13)  *  COS($A19))))</f>
        <v>- -</v>
      </c>
      <c r="AG19" s="1"/>
      <c r="AH19" s="1"/>
      <c r="AI19" s="1"/>
      <c r="AJ19" s="1"/>
      <c r="AK19" s="1"/>
      <c r="AL19" s="1"/>
    </row>
    <row r="20" customFormat="false" ht="12.75" hidden="false" customHeight="true" outlineLevel="0" collapsed="false">
      <c r="A20" s="192" t="n">
        <f aca="false">RADIANS(MOD(B20-180,-360)+180)</f>
        <v>1.5707963267949</v>
      </c>
      <c r="B20" s="182" t="n">
        <v>90</v>
      </c>
      <c r="C20" s="1"/>
      <c r="D20" s="194" t="n">
        <f aca="false">IF(OR((D$13)="",($A20)=""),"- -",DEGREES( ACOS( COS(D$13)  *  COS($A20))))</f>
        <v>90</v>
      </c>
      <c r="E20" s="194" t="n">
        <f aca="false">IF(OR((E$13)="",($A20)=""),"- -",DEGREES( ACOS( COS(E$13)  *  COS($A20))))</f>
        <v>90</v>
      </c>
      <c r="F20" s="194" t="n">
        <f aca="false">IF(OR((F$13)="",($A20)=""),"- -",DEGREES( ACOS( COS(F$13)  *  COS($A20))))</f>
        <v>90</v>
      </c>
      <c r="G20" s="194" t="n">
        <f aca="false">IF(OR((G$13)="",($A20)=""),"- -",DEGREES( ACOS( COS(G$13)  *  COS($A20))))</f>
        <v>90</v>
      </c>
      <c r="H20" s="194" t="n">
        <f aca="false">IF(OR((H$13)="",($A20)=""),"- -",DEGREES( ACOS( COS(H$13)  *  COS($A20))))</f>
        <v>90</v>
      </c>
      <c r="I20" s="194" t="n">
        <f aca="false">IF(OR((I$13)="",($A20)=""),"- -",DEGREES( ACOS( COS(I$13)  *  COS($A20))))</f>
        <v>90</v>
      </c>
      <c r="J20" s="194" t="n">
        <f aca="false">IF(OR((J$13)="",($A20)=""),"- -",DEGREES( ACOS( COS(J$13)  *  COS($A20))))</f>
        <v>90</v>
      </c>
      <c r="K20" s="194" t="n">
        <f aca="false">IF(OR((K$13)="",($A20)=""),"- -",DEGREES( ACOS( COS(K$13)  *  COS($A20))))</f>
        <v>90</v>
      </c>
      <c r="L20" s="194" t="n">
        <f aca="false">IF(OR((L$13)="",($A20)=""),"- -",DEGREES( ACOS( COS(L$13)  *  COS($A20))))</f>
        <v>90</v>
      </c>
      <c r="M20" s="194" t="n">
        <f aca="false">IF(OR((M$13)="",($A20)=""),"- -",DEGREES( ACOS( COS(M$13)  *  COS($A20))))</f>
        <v>90</v>
      </c>
      <c r="N20" s="194" t="n">
        <f aca="false">IF(OR((N$13)="",($A20)=""),"- -",DEGREES( ACOS( COS(N$13)  *  COS($A20))))</f>
        <v>90</v>
      </c>
      <c r="O20" s="194" t="n">
        <f aca="false">IF(OR((O$13)="",($A20)=""),"- -",DEGREES( ACOS( COS(O$13)  *  COS($A20))))</f>
        <v>90</v>
      </c>
      <c r="P20" s="194" t="n">
        <f aca="false">IF(OR((P$13)="",($A20)=""),"- -",DEGREES( ACOS( COS(P$13)  *  COS($A20))))</f>
        <v>90</v>
      </c>
      <c r="Q20" s="194" t="n">
        <f aca="false">IF(OR((Q$13)="",($A20)=""),"- -",DEGREES( ACOS( COS(Q$13)  *  COS($A20))))</f>
        <v>90</v>
      </c>
      <c r="R20" s="194" t="n">
        <f aca="false">IF(OR((R$13)="",($A20)=""),"- -",DEGREES( ACOS( COS(R$13)  *  COS($A20))))</f>
        <v>90</v>
      </c>
      <c r="S20" s="194" t="n">
        <f aca="false">IF(OR((S$13)="",($A20)=""),"- -",DEGREES( ACOS( COS(S$13)  *  COS($A20))))</f>
        <v>90</v>
      </c>
      <c r="T20" s="194" t="n">
        <f aca="false">IF(OR((T$13)="",($A20)=""),"- -",DEGREES( ACOS( COS(T$13)  *  COS($A20))))</f>
        <v>90</v>
      </c>
      <c r="U20" s="194" t="n">
        <f aca="false">IF(OR((U$13)="",($A20)=""),"- -",DEGREES( ACOS( COS(U$13)  *  COS($A20))))</f>
        <v>90</v>
      </c>
      <c r="V20" s="194" t="n">
        <f aca="false">IF(OR((V$13)="",($A20)=""),"- -",DEGREES( ACOS( COS(V$13)  *  COS($A20))))</f>
        <v>90</v>
      </c>
      <c r="W20" s="194" t="n">
        <f aca="false">IF(OR((W$13)="",($A20)=""),"- -",DEGREES( ACOS( COS(W$13)  *  COS($A20))))</f>
        <v>90</v>
      </c>
      <c r="X20" s="194" t="n">
        <f aca="false">IF(OR((X$13)="",($A20)=""),"- -",DEGREES( ACOS( COS(X$13)  *  COS($A20))))</f>
        <v>90</v>
      </c>
      <c r="Y20" s="194" t="n">
        <f aca="false">IF(OR((Y$13)="",($A20)=""),"- -",DEGREES( ACOS( COS(Y$13)  *  COS($A20))))</f>
        <v>90</v>
      </c>
      <c r="Z20" s="194" t="n">
        <f aca="false">IF(OR((Z$13)="",($A20)=""),"- -",DEGREES( ACOS( COS(Z$13)  *  COS($A20))))</f>
        <v>90</v>
      </c>
      <c r="AA20" s="194" t="n">
        <f aca="false">IF(OR((AA$13)="",($A20)=""),"- -",DEGREES( ACOS( COS(AA$13)  *  COS($A20))))</f>
        <v>90</v>
      </c>
      <c r="AB20" s="194" t="n">
        <f aca="false">IF(OR((AB$13)="",($A20)=""),"- -",DEGREES( ACOS( COS(AB$13)  *  COS($A20))))</f>
        <v>90</v>
      </c>
      <c r="AC20" s="195" t="n">
        <f aca="false">IF(OR((AC$13)="",($A20)=""),"- -",DEGREES( ACOS( COS(AC$13)  *  COS($A20))))</f>
        <v>90</v>
      </c>
      <c r="AD20" s="195" t="n">
        <f aca="false">IF(OR((AD$13)="",($A20)=""),"- -",DEGREES( ACOS( COS(AD$13)  *  COS($A20))))</f>
        <v>90</v>
      </c>
      <c r="AE20" s="1"/>
      <c r="AF20" s="196" t="str">
        <f aca="false">IF(OR((AF$13)="",($A20)=""),"- -",DEGREES( ACOS( COS(AF$13)  *  COS($A20))))</f>
        <v>- -</v>
      </c>
      <c r="AG20" s="1"/>
      <c r="AH20" s="1"/>
      <c r="AI20" s="1"/>
      <c r="AJ20" s="1"/>
      <c r="AK20" s="1"/>
      <c r="AL20" s="1"/>
    </row>
    <row r="21" customFormat="false" ht="12.75" hidden="false" customHeight="true" outlineLevel="0" collapsed="false">
      <c r="A21" s="192" t="n">
        <f aca="false">RADIANS(MOD(B21-180,-360)+180)</f>
        <v>1.83259571459405</v>
      </c>
      <c r="B21" s="182" t="n">
        <v>105</v>
      </c>
      <c r="C21" s="1"/>
      <c r="D21" s="194" t="n">
        <f aca="false">IF(OR((D$13)="",($A21)=""),"- -",DEGREES( ACOS( COS(D$13)  *  COS($A21))))</f>
        <v>104.999999997662</v>
      </c>
      <c r="E21" s="197" t="n">
        <f aca="false">IF(OR((E$13)="",($A21)=""),"- -",DEGREES( ACOS( COS(E$13)  *  COS($A21))))</f>
        <v>104.47751218593</v>
      </c>
      <c r="F21" s="197" t="n">
        <f aca="false">IF(OR((F$13)="",($A21)=""),"- -",DEGREES( ACOS( COS(F$13)  *  COS($A21))))</f>
        <v>102.952539642222</v>
      </c>
      <c r="G21" s="197" t="n">
        <f aca="false">IF(OR((G$13)="",($A21)=""),"- -",DEGREES( ACOS( COS(G$13)  *  COS($A21))))</f>
        <v>100.5452905895</v>
      </c>
      <c r="H21" s="197" t="n">
        <f aca="false">IF(OR((H$13)="",($A21)=""),"- -",DEGREES( ACOS( COS(H$13)  *  COS($A21))))</f>
        <v>97.4354722261319</v>
      </c>
      <c r="I21" s="197" t="n">
        <f aca="false">IF(OR((I$13)="",($A21)=""),"- -",DEGREES( ACOS( COS(I$13)  *  COS($A21))))</f>
        <v>93.8409657162582</v>
      </c>
      <c r="J21" s="194" t="n">
        <f aca="false">IF(OR((J$13)="",($A21)=""),"- -",DEGREES( ACOS( COS(J$13)  *  COS($A21))))</f>
        <v>90</v>
      </c>
      <c r="K21" s="197" t="n">
        <f aca="false">IF(OR((K$13)="",($A21)=""),"- -",DEGREES( ACOS( COS(K$13)  *  COS($A21))))</f>
        <v>86.1590342837419</v>
      </c>
      <c r="L21" s="197" t="n">
        <f aca="false">IF(OR((L$13)="",($A21)=""),"- -",DEGREES( ACOS( COS(L$13)  *  COS($A21))))</f>
        <v>82.5645277738682</v>
      </c>
      <c r="M21" s="197" t="n">
        <f aca="false">IF(OR((M$13)="",($A21)=""),"- -",DEGREES( ACOS( COS(M$13)  *  COS($A21))))</f>
        <v>79.4547094105004</v>
      </c>
      <c r="N21" s="197" t="n">
        <f aca="false">IF(OR((N$13)="",($A21)=""),"- -",DEGREES( ACOS( COS(N$13)  *  COS($A21))))</f>
        <v>77.0474603577776</v>
      </c>
      <c r="O21" s="197" t="n">
        <f aca="false">IF(OR((O$13)="",($A21)=""),"- -",DEGREES( ACOS( COS(O$13)  *  COS($A21))))</f>
        <v>75.5224878140701</v>
      </c>
      <c r="P21" s="194" t="n">
        <f aca="false">IF(OR((P$13)="",($A21)=""),"- -",DEGREES( ACOS( COS(P$13)  *  COS($A21))))</f>
        <v>75</v>
      </c>
      <c r="Q21" s="197" t="n">
        <f aca="false">IF(OR((Q$13)="",($A21)=""),"- -",DEGREES( ACOS( COS(Q$13)  *  COS($A21))))</f>
        <v>75.5224878140701</v>
      </c>
      <c r="R21" s="197" t="n">
        <f aca="false">IF(OR((R$13)="",($A21)=""),"- -",DEGREES( ACOS( COS(R$13)  *  COS($A21))))</f>
        <v>77.0474603577776</v>
      </c>
      <c r="S21" s="197" t="n">
        <f aca="false">IF(OR((S$13)="",($A21)=""),"- -",DEGREES( ACOS( COS(S$13)  *  COS($A21))))</f>
        <v>79.4547094105004</v>
      </c>
      <c r="T21" s="197" t="n">
        <f aca="false">IF(OR((T$13)="",($A21)=""),"- -",DEGREES( ACOS( COS(T$13)  *  COS($A21))))</f>
        <v>82.5645277738682</v>
      </c>
      <c r="U21" s="197" t="n">
        <f aca="false">IF(OR((U$13)="",($A21)=""),"- -",DEGREES( ACOS( COS(U$13)  *  COS($A21))))</f>
        <v>86.1590342837419</v>
      </c>
      <c r="V21" s="194" t="n">
        <f aca="false">IF(OR((V$13)="",($A21)=""),"- -",DEGREES( ACOS( COS(V$13)  *  COS($A21))))</f>
        <v>90</v>
      </c>
      <c r="W21" s="197" t="n">
        <f aca="false">IF(OR((W$13)="",($A21)=""),"- -",DEGREES( ACOS( COS(W$13)  *  COS($A21))))</f>
        <v>93.8409657162582</v>
      </c>
      <c r="X21" s="197" t="n">
        <f aca="false">IF(OR((X$13)="",($A21)=""),"- -",DEGREES( ACOS( COS(X$13)  *  COS($A21))))</f>
        <v>97.4354722261319</v>
      </c>
      <c r="Y21" s="197" t="n">
        <f aca="false">IF(OR((Y$13)="",($A21)=""),"- -",DEGREES( ACOS( COS(Y$13)  *  COS($A21))))</f>
        <v>100.5452905895</v>
      </c>
      <c r="Z21" s="197" t="n">
        <f aca="false">IF(OR((Z$13)="",($A21)=""),"- -",DEGREES( ACOS( COS(Z$13)  *  COS($A21))))</f>
        <v>102.952539642222</v>
      </c>
      <c r="AA21" s="197" t="n">
        <f aca="false">IF(OR((AA$13)="",($A21)=""),"- -",DEGREES( ACOS( COS(AA$13)  *  COS($A21))))</f>
        <v>104.47751218593</v>
      </c>
      <c r="AB21" s="194" t="n">
        <f aca="false">IF(OR((AB$13)="",($A21)=""),"- -",DEGREES( ACOS( COS(AB$13)  *  COS($A21))))</f>
        <v>104.99999976617</v>
      </c>
      <c r="AC21" s="195" t="n">
        <f aca="false">IF(OR((AC$13)="",($A21)=""),"- -",DEGREES( ACOS( COS(AC$13)  *  COS($A21))))</f>
        <v>105</v>
      </c>
      <c r="AD21" s="195" t="n">
        <f aca="false">IF(OR((AD$13)="",($A21)=""),"- -",DEGREES( ACOS( COS(AD$13)  *  COS($A21))))</f>
        <v>105</v>
      </c>
      <c r="AE21" s="1"/>
      <c r="AF21" s="196" t="str">
        <f aca="false">IF(OR((AF$13)="",($A21)=""),"- -",DEGREES( ACOS( COS(AF$13)  *  COS($A21))))</f>
        <v>- -</v>
      </c>
      <c r="AG21" s="1"/>
      <c r="AH21" s="1"/>
      <c r="AI21" s="1"/>
      <c r="AJ21" s="1"/>
      <c r="AK21" s="1"/>
      <c r="AL21" s="1"/>
    </row>
    <row r="22" customFormat="false" ht="12.75" hidden="false" customHeight="true" outlineLevel="0" collapsed="false">
      <c r="A22" s="192" t="n">
        <f aca="false">RADIANS(MOD(B22-180,-360)+180)</f>
        <v>2.0943951023932</v>
      </c>
      <c r="B22" s="182" t="n">
        <v>120</v>
      </c>
      <c r="C22" s="1"/>
      <c r="D22" s="194" t="n">
        <f aca="false">IF(OR((D$13)="",($A22)=""),"- -",DEGREES( ACOS( COS(D$13)  *  COS($A22))))</f>
        <v>119.999999994962</v>
      </c>
      <c r="E22" s="197" t="n">
        <f aca="false">IF(OR((E$13)="",($A22)=""),"- -",DEGREES( ACOS( COS(E$13)  *  COS($A22))))</f>
        <v>118.879094017428</v>
      </c>
      <c r="F22" s="197" t="n">
        <f aca="false">IF(OR((F$13)="",($A22)=""),"- -",DEGREES( ACOS( COS(F$13)  *  COS($A22))))</f>
        <v>115.658906273255</v>
      </c>
      <c r="G22" s="197" t="n">
        <f aca="false">IF(OR((G$13)="",($A22)=""),"- -",DEGREES( ACOS( COS(G$13)  *  COS($A22))))</f>
        <v>110.704811054635</v>
      </c>
      <c r="H22" s="197" t="n">
        <f aca="false">IF(OR((H$13)="",($A22)=""),"- -",DEGREES( ACOS( COS(H$13)  *  COS($A22))))</f>
        <v>104.47751218593</v>
      </c>
      <c r="I22" s="197" t="n">
        <f aca="false">IF(OR((I$13)="",($A22)=""),"- -",DEGREES( ACOS( COS(I$13)  *  COS($A22))))</f>
        <v>97.4354722261319</v>
      </c>
      <c r="J22" s="194" t="n">
        <f aca="false">IF(OR((J$13)="",($A22)=""),"- -",DEGREES( ACOS( COS(J$13)  *  COS($A22))))</f>
        <v>90</v>
      </c>
      <c r="K22" s="197" t="n">
        <f aca="false">IF(OR((K$13)="",($A22)=""),"- -",DEGREES( ACOS( COS(K$13)  *  COS($A22))))</f>
        <v>82.5645277738682</v>
      </c>
      <c r="L22" s="197" t="n">
        <f aca="false">IF(OR((L$13)="",($A22)=""),"- -",DEGREES( ACOS( COS(L$13)  *  COS($A22))))</f>
        <v>75.5224878140701</v>
      </c>
      <c r="M22" s="197" t="n">
        <f aca="false">IF(OR((M$13)="",($A22)=""),"- -",DEGREES( ACOS( COS(M$13)  *  COS($A22))))</f>
        <v>69.2951889453646</v>
      </c>
      <c r="N22" s="197" t="n">
        <f aca="false">IF(OR((N$13)="",($A22)=""),"- -",DEGREES( ACOS( COS(N$13)  *  COS($A22))))</f>
        <v>64.3410937267447</v>
      </c>
      <c r="O22" s="197" t="n">
        <f aca="false">IF(OR((O$13)="",($A22)=""),"- -",DEGREES( ACOS( COS(O$13)  *  COS($A22))))</f>
        <v>61.1209059825724</v>
      </c>
      <c r="P22" s="194" t="n">
        <f aca="false">IF(OR((P$13)="",($A22)=""),"- -",DEGREES( ACOS( COS(P$13)  *  COS($A22))))</f>
        <v>60</v>
      </c>
      <c r="Q22" s="197" t="n">
        <f aca="false">IF(OR((Q$13)="",($A22)=""),"- -",DEGREES( ACOS( COS(Q$13)  *  COS($A22))))</f>
        <v>61.1209059825724</v>
      </c>
      <c r="R22" s="197" t="n">
        <f aca="false">IF(OR((R$13)="",($A22)=""),"- -",DEGREES( ACOS( COS(R$13)  *  COS($A22))))</f>
        <v>64.3410937267447</v>
      </c>
      <c r="S22" s="197" t="n">
        <f aca="false">IF(OR((S$13)="",($A22)=""),"- -",DEGREES( ACOS( COS(S$13)  *  COS($A22))))</f>
        <v>69.2951889453646</v>
      </c>
      <c r="T22" s="197" t="n">
        <f aca="false">IF(OR((T$13)="",($A22)=""),"- -",DEGREES( ACOS( COS(T$13)  *  COS($A22))))</f>
        <v>75.5224878140701</v>
      </c>
      <c r="U22" s="197" t="n">
        <f aca="false">IF(OR((U$13)="",($A22)=""),"- -",DEGREES( ACOS( COS(U$13)  *  COS($A22))))</f>
        <v>82.5645277738682</v>
      </c>
      <c r="V22" s="194" t="n">
        <f aca="false">IF(OR((V$13)="",($A22)=""),"- -",DEGREES( ACOS( COS(V$13)  *  COS($A22))))</f>
        <v>90</v>
      </c>
      <c r="W22" s="197" t="n">
        <f aca="false">IF(OR((W$13)="",($A22)=""),"- -",DEGREES( ACOS( COS(W$13)  *  COS($A22))))</f>
        <v>97.4354722261319</v>
      </c>
      <c r="X22" s="197" t="n">
        <f aca="false">IF(OR((X$13)="",($A22)=""),"- -",DEGREES( ACOS( COS(X$13)  *  COS($A22))))</f>
        <v>104.47751218593</v>
      </c>
      <c r="Y22" s="197" t="n">
        <f aca="false">IF(OR((Y$13)="",($A22)=""),"- -",DEGREES( ACOS( COS(Y$13)  *  COS($A22))))</f>
        <v>110.704811054635</v>
      </c>
      <c r="Z22" s="197" t="n">
        <f aca="false">IF(OR((Z$13)="",($A22)=""),"- -",DEGREES( ACOS( COS(Z$13)  *  COS($A22))))</f>
        <v>115.658906273255</v>
      </c>
      <c r="AA22" s="197" t="n">
        <f aca="false">IF(OR((AA$13)="",($A22)=""),"- -",DEGREES( ACOS( COS(AA$13)  *  COS($A22))))</f>
        <v>118.879094017428</v>
      </c>
      <c r="AB22" s="194" t="n">
        <f aca="false">IF(OR((AB$13)="",($A22)=""),"- -",DEGREES( ACOS( COS(AB$13)  *  COS($A22))))</f>
        <v>119.999999496167</v>
      </c>
      <c r="AC22" s="195" t="n">
        <f aca="false">IF(OR((AC$13)="",($A22)=""),"- -",DEGREES( ACOS( COS(AC$13)  *  COS($A22))))</f>
        <v>120</v>
      </c>
      <c r="AD22" s="195" t="n">
        <f aca="false">IF(OR((AD$13)="",($A22)=""),"- -",DEGREES( ACOS( COS(AD$13)  *  COS($A22))))</f>
        <v>120</v>
      </c>
      <c r="AE22" s="1"/>
      <c r="AF22" s="196" t="str">
        <f aca="false">IF(OR((AF$13)="",($A22)=""),"- -",DEGREES( ACOS( COS(AF$13)  *  COS($A22))))</f>
        <v>- -</v>
      </c>
      <c r="AG22" s="1"/>
      <c r="AH22" s="1"/>
      <c r="AI22" s="1"/>
      <c r="AJ22" s="1"/>
      <c r="AK22" s="1"/>
      <c r="AL22" s="1"/>
    </row>
    <row r="23" customFormat="false" ht="12.75" hidden="false" customHeight="true" outlineLevel="0" collapsed="false">
      <c r="A23" s="192" t="n">
        <f aca="false">RADIANS(MOD(B23-180,-360)+180)</f>
        <v>2.35619449019234</v>
      </c>
      <c r="B23" s="182" t="n">
        <v>135</v>
      </c>
      <c r="C23" s="1"/>
      <c r="D23" s="194" t="n">
        <f aca="false">IF(OR((D$13)="",($A23)=""),"- -",DEGREES( ACOS( COS(D$13)  *  COS($A23))))</f>
        <v>134.999999991273</v>
      </c>
      <c r="E23" s="197" t="n">
        <f aca="false">IF(OR((E$13)="",($A23)=""),"- -",DEGREES( ACOS( COS(E$13)  *  COS($A23))))</f>
        <v>133.079517141871</v>
      </c>
      <c r="F23" s="197" t="n">
        <f aca="false">IF(OR((F$13)="",($A23)=""),"- -",DEGREES( ACOS( COS(F$13)  *  COS($A23))))</f>
        <v>127.761243907035</v>
      </c>
      <c r="G23" s="197" t="n">
        <f aca="false">IF(OR((G$13)="",($A23)=""),"- -",DEGREES( ACOS( COS(G$13)  *  COS($A23))))</f>
        <v>120</v>
      </c>
      <c r="H23" s="197" t="n">
        <f aca="false">IF(OR((H$13)="",($A23)=""),"- -",DEGREES( ACOS( COS(H$13)  *  COS($A23))))</f>
        <v>110.704811054635</v>
      </c>
      <c r="I23" s="197" t="n">
        <f aca="false">IF(OR((I$13)="",($A23)=""),"- -",DEGREES( ACOS( COS(I$13)  *  COS($A23))))</f>
        <v>100.5452905895</v>
      </c>
      <c r="J23" s="194" t="n">
        <f aca="false">IF(OR((J$13)="",($A23)=""),"- -",DEGREES( ACOS( COS(J$13)  *  COS($A23))))</f>
        <v>90</v>
      </c>
      <c r="K23" s="197" t="n">
        <f aca="false">IF(OR((K$13)="",($A23)=""),"- -",DEGREES( ACOS( COS(K$13)  *  COS($A23))))</f>
        <v>79.4547094105004</v>
      </c>
      <c r="L23" s="197" t="n">
        <f aca="false">IF(OR((L$13)="",($A23)=""),"- -",DEGREES( ACOS( COS(L$13)  *  COS($A23))))</f>
        <v>69.2951889453646</v>
      </c>
      <c r="M23" s="197" t="n">
        <f aca="false">IF(OR((M$13)="",($A23)=""),"- -",DEGREES( ACOS( COS(M$13)  *  COS($A23))))</f>
        <v>60</v>
      </c>
      <c r="N23" s="197" t="n">
        <f aca="false">IF(OR((N$13)="",($A23)=""),"- -",DEGREES( ACOS( COS(N$13)  *  COS($A23))))</f>
        <v>52.238756092965</v>
      </c>
      <c r="O23" s="197" t="n">
        <f aca="false">IF(OR((O$13)="",($A23)=""),"- -",DEGREES( ACOS( COS(O$13)  *  COS($A23))))</f>
        <v>46.9204828581291</v>
      </c>
      <c r="P23" s="194" t="n">
        <f aca="false">IF(OR((P$13)="",($A23)=""),"- -",DEGREES( ACOS( COS(P$13)  *  COS($A23))))</f>
        <v>45</v>
      </c>
      <c r="Q23" s="197" t="n">
        <f aca="false">IF(OR((Q$13)="",($A23)=""),"- -",DEGREES( ACOS( COS(Q$13)  *  COS($A23))))</f>
        <v>46.9204828581291</v>
      </c>
      <c r="R23" s="197" t="n">
        <f aca="false">IF(OR((R$13)="",($A23)=""),"- -",DEGREES( ACOS( COS(R$13)  *  COS($A23))))</f>
        <v>52.238756092965</v>
      </c>
      <c r="S23" s="197" t="n">
        <f aca="false">IF(OR((S$13)="",($A23)=""),"- -",DEGREES( ACOS( COS(S$13)  *  COS($A23))))</f>
        <v>60</v>
      </c>
      <c r="T23" s="197" t="n">
        <f aca="false">IF(OR((T$13)="",($A23)=""),"- -",DEGREES( ACOS( COS(T$13)  *  COS($A23))))</f>
        <v>69.2951889453646</v>
      </c>
      <c r="U23" s="197" t="n">
        <f aca="false">IF(OR((U$13)="",($A23)=""),"- -",DEGREES( ACOS( COS(U$13)  *  COS($A23))))</f>
        <v>79.4547094105004</v>
      </c>
      <c r="V23" s="194" t="n">
        <f aca="false">IF(OR((V$13)="",($A23)=""),"- -",DEGREES( ACOS( COS(V$13)  *  COS($A23))))</f>
        <v>90</v>
      </c>
      <c r="W23" s="197" t="n">
        <f aca="false">IF(OR((W$13)="",($A23)=""),"- -",DEGREES( ACOS( COS(W$13)  *  COS($A23))))</f>
        <v>100.5452905895</v>
      </c>
      <c r="X23" s="197" t="n">
        <f aca="false">IF(OR((X$13)="",($A23)=""),"- -",DEGREES( ACOS( COS(X$13)  *  COS($A23))))</f>
        <v>110.704811054635</v>
      </c>
      <c r="Y23" s="197" t="n">
        <f aca="false">IF(OR((Y$13)="",($A23)=""),"- -",DEGREES( ACOS( COS(Y$13)  *  COS($A23))))</f>
        <v>120</v>
      </c>
      <c r="Z23" s="197" t="n">
        <f aca="false">IF(OR((Z$13)="",($A23)=""),"- -",DEGREES( ACOS( COS(Z$13)  *  COS($A23))))</f>
        <v>127.761243907035</v>
      </c>
      <c r="AA23" s="197" t="n">
        <f aca="false">IF(OR((AA$13)="",($A23)=""),"- -",DEGREES( ACOS( COS(AA$13)  *  COS($A23))))</f>
        <v>133.079517141871</v>
      </c>
      <c r="AB23" s="194" t="n">
        <f aca="false">IF(OR((AB$13)="",($A23)=""),"- -",DEGREES( ACOS( COS(AB$13)  *  COS($A23))))</f>
        <v>134.999999127335</v>
      </c>
      <c r="AC23" s="195" t="n">
        <f aca="false">IF(OR((AC$13)="",($A23)=""),"- -",DEGREES( ACOS( COS(AC$13)  *  COS($A23))))</f>
        <v>135</v>
      </c>
      <c r="AD23" s="195" t="n">
        <f aca="false">IF(OR((AD$13)="",($A23)=""),"- -",DEGREES( ACOS( COS(AD$13)  *  COS($A23))))</f>
        <v>135</v>
      </c>
      <c r="AE23" s="1"/>
      <c r="AF23" s="196" t="str">
        <f aca="false">IF(OR((AF$13)="",($A23)=""),"- -",DEGREES( ACOS( COS(AF$13)  *  COS($A23))))</f>
        <v>- -</v>
      </c>
      <c r="AG23" s="1"/>
      <c r="AH23" s="1"/>
      <c r="AI23" s="1"/>
      <c r="AJ23" s="1"/>
      <c r="AK23" s="1"/>
      <c r="AL23" s="1"/>
    </row>
    <row r="24" customFormat="false" ht="12.75" hidden="false" customHeight="true" outlineLevel="0" collapsed="false">
      <c r="A24" s="192" t="n">
        <f aca="false">RADIANS(MOD(B24-180,-360)+180)</f>
        <v>2.61799387799149</v>
      </c>
      <c r="B24" s="182" t="n">
        <v>150</v>
      </c>
      <c r="C24" s="1"/>
      <c r="D24" s="194" t="n">
        <f aca="false">IF(OR((D$13)="",($A24)=""),"- -",DEGREES( ACOS( COS(D$13)  *  COS($A24))))</f>
        <v>149.999999984885</v>
      </c>
      <c r="E24" s="197" t="n">
        <f aca="false">IF(OR((E$13)="",($A24)=""),"- -",DEGREES( ACOS( COS(E$13)  *  COS($A24))))</f>
        <v>146.774057796712</v>
      </c>
      <c r="F24" s="197" t="n">
        <f aca="false">IF(OR((F$13)="",($A24)=""),"- -",DEGREES( ACOS( COS(F$13)  *  COS($A24))))</f>
        <v>138.590377890729</v>
      </c>
      <c r="G24" s="197" t="n">
        <f aca="false">IF(OR((G$13)="",($A24)=""),"- -",DEGREES( ACOS( COS(G$13)  *  COS($A24))))</f>
        <v>127.761243907035</v>
      </c>
      <c r="H24" s="197" t="n">
        <f aca="false">IF(OR((H$13)="",($A24)=""),"- -",DEGREES( ACOS( COS(H$13)  *  COS($A24))))</f>
        <v>115.658906273255</v>
      </c>
      <c r="I24" s="197" t="n">
        <f aca="false">IF(OR((I$13)="",($A24)=""),"- -",DEGREES( ACOS( COS(I$13)  *  COS($A24))))</f>
        <v>102.952539642222</v>
      </c>
      <c r="J24" s="194" t="n">
        <f aca="false">IF(OR((J$13)="",($A24)=""),"- -",DEGREES( ACOS( COS(J$13)  *  COS($A24))))</f>
        <v>90</v>
      </c>
      <c r="K24" s="197" t="n">
        <f aca="false">IF(OR((K$13)="",($A24)=""),"- -",DEGREES( ACOS( COS(K$13)  *  COS($A24))))</f>
        <v>77.0474603577776</v>
      </c>
      <c r="L24" s="197" t="n">
        <f aca="false">IF(OR((L$13)="",($A24)=""),"- -",DEGREES( ACOS( COS(L$13)  *  COS($A24))))</f>
        <v>64.3410937267447</v>
      </c>
      <c r="M24" s="197" t="n">
        <f aca="false">IF(OR((M$13)="",($A24)=""),"- -",DEGREES( ACOS( COS(M$13)  *  COS($A24))))</f>
        <v>52.238756092965</v>
      </c>
      <c r="N24" s="197" t="n">
        <f aca="false">IF(OR((N$13)="",($A24)=""),"- -",DEGREES( ACOS( COS(N$13)  *  COS($A24))))</f>
        <v>41.4096221092709</v>
      </c>
      <c r="O24" s="197" t="n">
        <f aca="false">IF(OR((O$13)="",($A24)=""),"- -",DEGREES( ACOS( COS(O$13)  *  COS($A24))))</f>
        <v>33.2259422032876</v>
      </c>
      <c r="P24" s="194" t="n">
        <f aca="false">IF(OR((P$13)="",($A24)=""),"- -",DEGREES( ACOS( COS(P$13)  *  COS($A24))))</f>
        <v>30</v>
      </c>
      <c r="Q24" s="197" t="n">
        <f aca="false">IF(OR((Q$13)="",($A24)=""),"- -",DEGREES( ACOS( COS(Q$13)  *  COS($A24))))</f>
        <v>33.2259422032876</v>
      </c>
      <c r="R24" s="197" t="n">
        <f aca="false">IF(OR((R$13)="",($A24)=""),"- -",DEGREES( ACOS( COS(R$13)  *  COS($A24))))</f>
        <v>41.4096221092709</v>
      </c>
      <c r="S24" s="197" t="n">
        <f aca="false">IF(OR((S$13)="",($A24)=""),"- -",DEGREES( ACOS( COS(S$13)  *  COS($A24))))</f>
        <v>52.238756092965</v>
      </c>
      <c r="T24" s="197" t="n">
        <f aca="false">IF(OR((T$13)="",($A24)=""),"- -",DEGREES( ACOS( COS(T$13)  *  COS($A24))))</f>
        <v>64.3410937267447</v>
      </c>
      <c r="U24" s="197" t="n">
        <f aca="false">IF(OR((U$13)="",($A24)=""),"- -",DEGREES( ACOS( COS(U$13)  *  COS($A24))))</f>
        <v>77.0474603577776</v>
      </c>
      <c r="V24" s="194" t="n">
        <f aca="false">IF(OR((V$13)="",($A24)=""),"- -",DEGREES( ACOS( COS(V$13)  *  COS($A24))))</f>
        <v>90</v>
      </c>
      <c r="W24" s="197" t="n">
        <f aca="false">IF(OR((W$13)="",($A24)=""),"- -",DEGREES( ACOS( COS(W$13)  *  COS($A24))))</f>
        <v>102.952539642222</v>
      </c>
      <c r="X24" s="197" t="n">
        <f aca="false">IF(OR((X$13)="",($A24)=""),"- -",DEGREES( ACOS( COS(X$13)  *  COS($A24))))</f>
        <v>115.658906273255</v>
      </c>
      <c r="Y24" s="197" t="n">
        <f aca="false">IF(OR((Y$13)="",($A24)=""),"- -",DEGREES( ACOS( COS(Y$13)  *  COS($A24))))</f>
        <v>127.761243907035</v>
      </c>
      <c r="Z24" s="197" t="n">
        <f aca="false">IF(OR((Z$13)="",($A24)=""),"- -",DEGREES( ACOS( COS(Z$13)  *  COS($A24))))</f>
        <v>138.590377890729</v>
      </c>
      <c r="AA24" s="197" t="n">
        <f aca="false">IF(OR((AA$13)="",($A24)=""),"- -",DEGREES( ACOS( COS(AA$13)  *  COS($A24))))</f>
        <v>146.774057796712</v>
      </c>
      <c r="AB24" s="194" t="n">
        <f aca="false">IF(OR((AB$13)="",($A24)=""),"- -",DEGREES( ACOS( COS(AB$13)  *  COS($A24))))</f>
        <v>149.999998488501</v>
      </c>
      <c r="AC24" s="195" t="n">
        <f aca="false">IF(OR((AC$13)="",($A24)=""),"- -",DEGREES( ACOS( COS(AC$13)  *  COS($A24))))</f>
        <v>150</v>
      </c>
      <c r="AD24" s="195" t="n">
        <f aca="false">IF(OR((AD$13)="",($A24)=""),"- -",DEGREES( ACOS( COS(AD$13)  *  COS($A24))))</f>
        <v>150</v>
      </c>
      <c r="AE24" s="1"/>
      <c r="AF24" s="196" t="str">
        <f aca="false">IF(OR((AF$13)="",($A24)=""),"- -",DEGREES( ACOS( COS(AF$13)  *  COS($A24))))</f>
        <v>- -</v>
      </c>
      <c r="AG24" s="1"/>
      <c r="AH24" s="1"/>
      <c r="AI24" s="1"/>
      <c r="AJ24" s="1"/>
      <c r="AK24" s="1"/>
      <c r="AL24" s="1"/>
    </row>
    <row r="25" customFormat="false" ht="12.75" hidden="false" customHeight="true" outlineLevel="0" collapsed="false">
      <c r="A25" s="192" t="n">
        <f aca="false">RADIANS(MOD(B25-180,-360)+180)</f>
        <v>2.87979326579064</v>
      </c>
      <c r="B25" s="182" t="n">
        <v>165</v>
      </c>
      <c r="C25" s="1"/>
      <c r="D25" s="194" t="n">
        <f aca="false">IF(OR((D$13)="",($A25)=""),"- -",DEGREES( ACOS( COS(D$13)  *  COS($A25))))</f>
        <v>164.999999967432</v>
      </c>
      <c r="E25" s="197" t="n">
        <f aca="false">IF(OR((E$13)="",($A25)=""),"- -",DEGREES( ACOS( COS(E$13)  *  COS($A25))))</f>
        <v>158.909418821001</v>
      </c>
      <c r="F25" s="197" t="n">
        <f aca="false">IF(OR((F$13)="",($A25)=""),"- -",DEGREES( ACOS( COS(F$13)  *  COS($A25))))</f>
        <v>146.774057796712</v>
      </c>
      <c r="G25" s="197" t="n">
        <f aca="false">IF(OR((G$13)="",($A25)=""),"- -",DEGREES( ACOS( COS(G$13)  *  COS($A25))))</f>
        <v>133.079517141871</v>
      </c>
      <c r="H25" s="197" t="n">
        <f aca="false">IF(OR((H$13)="",($A25)=""),"- -",DEGREES( ACOS( COS(H$13)  *  COS($A25))))</f>
        <v>118.879094017428</v>
      </c>
      <c r="I25" s="197" t="n">
        <f aca="false">IF(OR((I$13)="",($A25)=""),"- -",DEGREES( ACOS( COS(I$13)  *  COS($A25))))</f>
        <v>104.47751218593</v>
      </c>
      <c r="J25" s="194" t="n">
        <f aca="false">IF(OR((J$13)="",($A25)=""),"- -",DEGREES( ACOS( COS(J$13)  *  COS($A25))))</f>
        <v>90</v>
      </c>
      <c r="K25" s="197" t="n">
        <f aca="false">IF(OR((K$13)="",($A25)=""),"- -",DEGREES( ACOS( COS(K$13)  *  COS($A25))))</f>
        <v>75.5224878140701</v>
      </c>
      <c r="L25" s="197" t="n">
        <f aca="false">IF(OR((L$13)="",($A25)=""),"- -",DEGREES( ACOS( COS(L$13)  *  COS($A25))))</f>
        <v>61.1209059825724</v>
      </c>
      <c r="M25" s="197" t="n">
        <f aca="false">IF(OR((M$13)="",($A25)=""),"- -",DEGREES( ACOS( COS(M$13)  *  COS($A25))))</f>
        <v>46.9204828581291</v>
      </c>
      <c r="N25" s="197" t="n">
        <f aca="false">IF(OR((N$13)="",($A25)=""),"- -",DEGREES( ACOS( COS(N$13)  *  COS($A25))))</f>
        <v>33.2259422032876</v>
      </c>
      <c r="O25" s="197" t="n">
        <f aca="false">IF(OR((O$13)="",($A25)=""),"- -",DEGREES( ACOS( COS(O$13)  *  COS($A25))))</f>
        <v>21.0905811789991</v>
      </c>
      <c r="P25" s="194" t="n">
        <f aca="false">IF(OR((P$13)="",($A25)=""),"- -",DEGREES( ACOS( COS(P$13)  *  COS($A25))))</f>
        <v>15</v>
      </c>
      <c r="Q25" s="197" t="n">
        <f aca="false">IF(OR((Q$13)="",($A25)=""),"- -",DEGREES( ACOS( COS(Q$13)  *  COS($A25))))</f>
        <v>21.0905811789991</v>
      </c>
      <c r="R25" s="197" t="n">
        <f aca="false">IF(OR((R$13)="",($A25)=""),"- -",DEGREES( ACOS( COS(R$13)  *  COS($A25))))</f>
        <v>33.2259422032876</v>
      </c>
      <c r="S25" s="197" t="n">
        <f aca="false">IF(OR((S$13)="",($A25)=""),"- -",DEGREES( ACOS( COS(S$13)  *  COS($A25))))</f>
        <v>46.9204828581291</v>
      </c>
      <c r="T25" s="197" t="n">
        <f aca="false">IF(OR((T$13)="",($A25)=""),"- -",DEGREES( ACOS( COS(T$13)  *  COS($A25))))</f>
        <v>61.1209059825724</v>
      </c>
      <c r="U25" s="197" t="n">
        <f aca="false">IF(OR((U$13)="",($A25)=""),"- -",DEGREES( ACOS( COS(U$13)  *  COS($A25))))</f>
        <v>75.5224878140701</v>
      </c>
      <c r="V25" s="194" t="n">
        <f aca="false">IF(OR((V$13)="",($A25)=""),"- -",DEGREES( ACOS( COS(V$13)  *  COS($A25))))</f>
        <v>90</v>
      </c>
      <c r="W25" s="197" t="n">
        <f aca="false">IF(OR((W$13)="",($A25)=""),"- -",DEGREES( ACOS( COS(W$13)  *  COS($A25))))</f>
        <v>104.47751218593</v>
      </c>
      <c r="X25" s="197" t="n">
        <f aca="false">IF(OR((X$13)="",($A25)=""),"- -",DEGREES( ACOS( COS(X$13)  *  COS($A25))))</f>
        <v>118.879094017428</v>
      </c>
      <c r="Y25" s="197" t="n">
        <f aca="false">IF(OR((Y$13)="",($A25)=""),"- -",DEGREES( ACOS( COS(Y$13)  *  COS($A25))))</f>
        <v>133.079517141871</v>
      </c>
      <c r="Z25" s="197" t="n">
        <f aca="false">IF(OR((Z$13)="",($A25)=""),"- -",DEGREES( ACOS( COS(Z$13)  *  COS($A25))))</f>
        <v>146.774057796712</v>
      </c>
      <c r="AA25" s="197" t="n">
        <f aca="false">IF(OR((AA$13)="",($A25)=""),"- -",DEGREES( ACOS( COS(AA$13)  *  COS($A25))))</f>
        <v>158.909418821001</v>
      </c>
      <c r="AB25" s="194" t="n">
        <f aca="false">IF(OR((AB$13)="",($A25)=""),"- -",DEGREES( ACOS( COS(AB$13)  *  COS($A25))))</f>
        <v>164.999996743172</v>
      </c>
      <c r="AC25" s="195" t="n">
        <f aca="false">IF(OR((AC$13)="",($A25)=""),"- -",DEGREES( ACOS( COS(AC$13)  *  COS($A25))))</f>
        <v>165</v>
      </c>
      <c r="AD25" s="195" t="n">
        <f aca="false">IF(OR((AD$13)="",($A25)=""),"- -",DEGREES( ACOS( COS(AD$13)  *  COS($A25))))</f>
        <v>165</v>
      </c>
      <c r="AE25" s="1"/>
      <c r="AF25" s="196" t="str">
        <f aca="false">IF(OR((AF$13)="",($A25)=""),"- -",DEGREES( ACOS( COS(AF$13)  *  COS($A25))))</f>
        <v>- -</v>
      </c>
      <c r="AG25" s="1"/>
      <c r="AH25" s="1"/>
      <c r="AI25" s="1"/>
      <c r="AJ25" s="1"/>
      <c r="AK25" s="1"/>
      <c r="AL25" s="1"/>
    </row>
    <row r="26" customFormat="false" ht="12.75" hidden="false" customHeight="true" outlineLevel="0" collapsed="false">
      <c r="A26" s="192" t="n">
        <f aca="false">RADIANS(MOD(B26-180,-360)+180)</f>
        <v>3.14159265358979</v>
      </c>
      <c r="B26" s="182" t="n">
        <v>180</v>
      </c>
      <c r="C26" s="1"/>
      <c r="D26" s="194" t="n">
        <f aca="false">IF(OR((D$13)="",($A26)=""),"- -",DEGREES( ACOS( COS(D$13)  *  COS($A26))))</f>
        <v>179.998999999963</v>
      </c>
      <c r="E26" s="194" t="n">
        <f aca="false">IF(OR((E$13)="",($A26)=""),"- -",DEGREES( ACOS( COS(E$13)  *  COS($A26))))</f>
        <v>165</v>
      </c>
      <c r="F26" s="194" t="n">
        <f aca="false">IF(OR((F$13)="",($A26)=""),"- -",DEGREES( ACOS( COS(F$13)  *  COS($A26))))</f>
        <v>150</v>
      </c>
      <c r="G26" s="194" t="n">
        <f aca="false">IF(OR((G$13)="",($A26)=""),"- -",DEGREES( ACOS( COS(G$13)  *  COS($A26))))</f>
        <v>135</v>
      </c>
      <c r="H26" s="194" t="n">
        <f aca="false">IF(OR((H$13)="",($A26)=""),"- -",DEGREES( ACOS( COS(H$13)  *  COS($A26))))</f>
        <v>120</v>
      </c>
      <c r="I26" s="194" t="n">
        <f aca="false">IF(OR((I$13)="",($A26)=""),"- -",DEGREES( ACOS( COS(I$13)  *  COS($A26))))</f>
        <v>105</v>
      </c>
      <c r="J26" s="194" t="n">
        <f aca="false">IF(OR((J$13)="",($A26)=""),"- -",DEGREES( ACOS( COS(J$13)  *  COS($A26))))</f>
        <v>90</v>
      </c>
      <c r="K26" s="194" t="n">
        <f aca="false">IF(OR((K$13)="",($A26)=""),"- -",DEGREES( ACOS( COS(K$13)  *  COS($A26))))</f>
        <v>75</v>
      </c>
      <c r="L26" s="194" t="n">
        <f aca="false">IF(OR((L$13)="",($A26)=""),"- -",DEGREES( ACOS( COS(L$13)  *  COS($A26))))</f>
        <v>60</v>
      </c>
      <c r="M26" s="194" t="n">
        <f aca="false">IF(OR((M$13)="",($A26)=""),"- -",DEGREES( ACOS( COS(M$13)  *  COS($A26))))</f>
        <v>45</v>
      </c>
      <c r="N26" s="194" t="n">
        <f aca="false">IF(OR((N$13)="",($A26)=""),"- -",DEGREES( ACOS( COS(N$13)  *  COS($A26))))</f>
        <v>30</v>
      </c>
      <c r="O26" s="194" t="n">
        <f aca="false">IF(OR((O$13)="",($A26)=""),"- -",DEGREES( ACOS( COS(O$13)  *  COS($A26))))</f>
        <v>15</v>
      </c>
      <c r="P26" s="194" t="n">
        <f aca="false">IF(OR((P$13)="",($A26)=""),"- -",DEGREES( ACOS( COS(P$13)  *  COS($A26))))</f>
        <v>0</v>
      </c>
      <c r="Q26" s="194" t="n">
        <f aca="false">IF(OR((Q$13)="",($A26)=""),"- -",DEGREES( ACOS( COS(Q$13)  *  COS($A26))))</f>
        <v>15</v>
      </c>
      <c r="R26" s="194" t="n">
        <f aca="false">IF(OR((R$13)="",($A26)=""),"- -",DEGREES( ACOS( COS(R$13)  *  COS($A26))))</f>
        <v>30</v>
      </c>
      <c r="S26" s="194" t="n">
        <f aca="false">IF(OR((S$13)="",($A26)=""),"- -",DEGREES( ACOS( COS(S$13)  *  COS($A26))))</f>
        <v>45</v>
      </c>
      <c r="T26" s="194" t="n">
        <f aca="false">IF(OR((T$13)="",($A26)=""),"- -",DEGREES( ACOS( COS(T$13)  *  COS($A26))))</f>
        <v>60</v>
      </c>
      <c r="U26" s="194" t="n">
        <f aca="false">IF(OR((U$13)="",($A26)=""),"- -",DEGREES( ACOS( COS(U$13)  *  COS($A26))))</f>
        <v>75</v>
      </c>
      <c r="V26" s="194" t="n">
        <f aca="false">IF(OR((V$13)="",($A26)=""),"- -",DEGREES( ACOS( COS(V$13)  *  COS($A26))))</f>
        <v>90</v>
      </c>
      <c r="W26" s="194" t="n">
        <f aca="false">IF(OR((W$13)="",($A26)=""),"- -",DEGREES( ACOS( COS(W$13)  *  COS($A26))))</f>
        <v>105</v>
      </c>
      <c r="X26" s="194" t="n">
        <f aca="false">IF(OR((X$13)="",($A26)=""),"- -",DEGREES( ACOS( COS(X$13)  *  COS($A26))))</f>
        <v>120</v>
      </c>
      <c r="Y26" s="194" t="n">
        <f aca="false">IF(OR((Y$13)="",($A26)=""),"- -",DEGREES( ACOS( COS(Y$13)  *  COS($A26))))</f>
        <v>135</v>
      </c>
      <c r="Z26" s="194" t="n">
        <f aca="false">IF(OR((Z$13)="",($A26)=""),"- -",DEGREES( ACOS( COS(Z$13)  *  COS($A26))))</f>
        <v>150</v>
      </c>
      <c r="AA26" s="194" t="n">
        <f aca="false">IF(OR((AA$13)="",($A26)=""),"- -",DEGREES( ACOS( COS(AA$13)  *  COS($A26))))</f>
        <v>165</v>
      </c>
      <c r="AB26" s="194" t="n">
        <f aca="false">IF(OR((AB$13)="",($A26)=""),"- -",DEGREES( ACOS( COS(AB$13)  *  COS($A26))))</f>
        <v>179.990000000017</v>
      </c>
      <c r="AC26" s="195" t="n">
        <f aca="false">IF(OR((AC$13)="",($A26)=""),"- -",DEGREES( ACOS( COS(AC$13)  *  COS($A26))))</f>
        <v>180</v>
      </c>
      <c r="AD26" s="195" t="n">
        <f aca="false">IF(OR((AD$13)="",($A26)=""),"- -",DEGREES( ACOS( COS(AD$13)  *  COS($A26))))</f>
        <v>180</v>
      </c>
      <c r="AE26" s="1"/>
      <c r="AF26" s="196" t="str">
        <f aca="false">IF(OR((AF$13)="",($A26)=""),"- -",DEGREES( ACOS( COS(AF$13)  *  COS($A26))))</f>
        <v>- -</v>
      </c>
      <c r="AG26" s="1"/>
      <c r="AH26" s="1"/>
      <c r="AI26" s="1"/>
      <c r="AJ26" s="1"/>
      <c r="AK26" s="1"/>
      <c r="AL26" s="1"/>
    </row>
    <row r="27" customFormat="false" ht="12.75" hidden="false" customHeight="true" outlineLevel="0" collapsed="false">
      <c r="A27" s="193" t="n">
        <f aca="false">RADIANS(MOD(B27-180,-360)+180)</f>
        <v>-2.87979326579064</v>
      </c>
      <c r="B27" s="182" t="n">
        <v>195</v>
      </c>
      <c r="C27" s="1"/>
      <c r="D27" s="194" t="n">
        <f aca="false">IF(OR((D$13)="",($A27)=""),"- -",DEGREES( ACOS( COS(D$13)  *  COS($A27))))</f>
        <v>164.999999967432</v>
      </c>
      <c r="E27" s="197" t="n">
        <f aca="false">IF(OR((E$13)="",($A27)=""),"- -",DEGREES( ACOS( COS(E$13)  *  COS($A27))))</f>
        <v>158.909418821001</v>
      </c>
      <c r="F27" s="197" t="n">
        <f aca="false">IF(OR((F$13)="",($A27)=""),"- -",DEGREES( ACOS( COS(F$13)  *  COS($A27))))</f>
        <v>146.774057796712</v>
      </c>
      <c r="G27" s="197" t="n">
        <f aca="false">IF(OR((G$13)="",($A27)=""),"- -",DEGREES( ACOS( COS(G$13)  *  COS($A27))))</f>
        <v>133.079517141871</v>
      </c>
      <c r="H27" s="197" t="n">
        <f aca="false">IF(OR((H$13)="",($A27)=""),"- -",DEGREES( ACOS( COS(H$13)  *  COS($A27))))</f>
        <v>118.879094017428</v>
      </c>
      <c r="I27" s="197" t="n">
        <f aca="false">IF(OR((I$13)="",($A27)=""),"- -",DEGREES( ACOS( COS(I$13)  *  COS($A27))))</f>
        <v>104.47751218593</v>
      </c>
      <c r="J27" s="194" t="n">
        <f aca="false">IF(OR((J$13)="",($A27)=""),"- -",DEGREES( ACOS( COS(J$13)  *  COS($A27))))</f>
        <v>90</v>
      </c>
      <c r="K27" s="197" t="n">
        <f aca="false">IF(OR((K$13)="",($A27)=""),"- -",DEGREES( ACOS( COS(K$13)  *  COS($A27))))</f>
        <v>75.5224878140701</v>
      </c>
      <c r="L27" s="197" t="n">
        <f aca="false">IF(OR((L$13)="",($A27)=""),"- -",DEGREES( ACOS( COS(L$13)  *  COS($A27))))</f>
        <v>61.1209059825724</v>
      </c>
      <c r="M27" s="197" t="n">
        <f aca="false">IF(OR((M$13)="",($A27)=""),"- -",DEGREES( ACOS( COS(M$13)  *  COS($A27))))</f>
        <v>46.9204828581291</v>
      </c>
      <c r="N27" s="197" t="n">
        <f aca="false">IF(OR((N$13)="",($A27)=""),"- -",DEGREES( ACOS( COS(N$13)  *  COS($A27))))</f>
        <v>33.2259422032876</v>
      </c>
      <c r="O27" s="197" t="n">
        <f aca="false">IF(OR((O$13)="",($A27)=""),"- -",DEGREES( ACOS( COS(O$13)  *  COS($A27))))</f>
        <v>21.0905811789991</v>
      </c>
      <c r="P27" s="194" t="n">
        <f aca="false">IF(OR((P$13)="",($A27)=""),"- -",DEGREES( ACOS( COS(P$13)  *  COS($A27))))</f>
        <v>15</v>
      </c>
      <c r="Q27" s="197" t="n">
        <f aca="false">IF(OR((Q$13)="",($A27)=""),"- -",DEGREES( ACOS( COS(Q$13)  *  COS($A27))))</f>
        <v>21.0905811789991</v>
      </c>
      <c r="R27" s="197" t="n">
        <f aca="false">IF(OR((R$13)="",($A27)=""),"- -",DEGREES( ACOS( COS(R$13)  *  COS($A27))))</f>
        <v>33.2259422032876</v>
      </c>
      <c r="S27" s="197" t="n">
        <f aca="false">IF(OR((S$13)="",($A27)=""),"- -",DEGREES( ACOS( COS(S$13)  *  COS($A27))))</f>
        <v>46.9204828581291</v>
      </c>
      <c r="T27" s="197" t="n">
        <f aca="false">IF(OR((T$13)="",($A27)=""),"- -",DEGREES( ACOS( COS(T$13)  *  COS($A27))))</f>
        <v>61.1209059825724</v>
      </c>
      <c r="U27" s="197" t="n">
        <f aca="false">IF(OR((U$13)="",($A27)=""),"- -",DEGREES( ACOS( COS(U$13)  *  COS($A27))))</f>
        <v>75.5224878140701</v>
      </c>
      <c r="V27" s="194" t="n">
        <f aca="false">IF(OR((V$13)="",($A27)=""),"- -",DEGREES( ACOS( COS(V$13)  *  COS($A27))))</f>
        <v>90</v>
      </c>
      <c r="W27" s="197" t="n">
        <f aca="false">IF(OR((W$13)="",($A27)=""),"- -",DEGREES( ACOS( COS(W$13)  *  COS($A27))))</f>
        <v>104.47751218593</v>
      </c>
      <c r="X27" s="197" t="n">
        <f aca="false">IF(OR((X$13)="",($A27)=""),"- -",DEGREES( ACOS( COS(X$13)  *  COS($A27))))</f>
        <v>118.879094017428</v>
      </c>
      <c r="Y27" s="197" t="n">
        <f aca="false">IF(OR((Y$13)="",($A27)=""),"- -",DEGREES( ACOS( COS(Y$13)  *  COS($A27))))</f>
        <v>133.079517141871</v>
      </c>
      <c r="Z27" s="197" t="n">
        <f aca="false">IF(OR((Z$13)="",($A27)=""),"- -",DEGREES( ACOS( COS(Z$13)  *  COS($A27))))</f>
        <v>146.774057796712</v>
      </c>
      <c r="AA27" s="197" t="n">
        <f aca="false">IF(OR((AA$13)="",($A27)=""),"- -",DEGREES( ACOS( COS(AA$13)  *  COS($A27))))</f>
        <v>158.909418821001</v>
      </c>
      <c r="AB27" s="194" t="n">
        <f aca="false">IF(OR((AB$13)="",($A27)=""),"- -",DEGREES( ACOS( COS(AB$13)  *  COS($A27))))</f>
        <v>164.999996743172</v>
      </c>
      <c r="AC27" s="195" t="n">
        <f aca="false">IF(OR((AC$13)="",($A27)=""),"- -",DEGREES( ACOS( COS(AC$13)  *  COS($A27))))</f>
        <v>165</v>
      </c>
      <c r="AD27" s="195" t="n">
        <f aca="false">IF(OR((AD$13)="",($A27)=""),"- -",DEGREES( ACOS( COS(AD$13)  *  COS($A27))))</f>
        <v>165</v>
      </c>
      <c r="AE27" s="1"/>
      <c r="AF27" s="196" t="str">
        <f aca="false">IF(OR((AF$13)="",($A27)=""),"- -",DEGREES( ACOS( COS(AF$13)  *  COS($A27))))</f>
        <v>- -</v>
      </c>
      <c r="AG27" s="1"/>
      <c r="AH27" s="1"/>
      <c r="AI27" s="1"/>
      <c r="AJ27" s="1"/>
      <c r="AK27" s="1"/>
      <c r="AL27" s="1"/>
    </row>
    <row r="28" customFormat="false" ht="12.75" hidden="false" customHeight="true" outlineLevel="0" collapsed="false">
      <c r="A28" s="193" t="n">
        <f aca="false">RADIANS(MOD(B28-180,-360)+180)</f>
        <v>-2.61799387799149</v>
      </c>
      <c r="B28" s="182" t="n">
        <v>210</v>
      </c>
      <c r="C28" s="1"/>
      <c r="D28" s="194" t="n">
        <f aca="false">IF(OR((D$13)="",($A28)=""),"- -",DEGREES( ACOS( COS(D$13)  *  COS($A28))))</f>
        <v>149.999999984885</v>
      </c>
      <c r="E28" s="197" t="n">
        <f aca="false">IF(OR((E$13)="",($A28)=""),"- -",DEGREES( ACOS( COS(E$13)  *  COS($A28))))</f>
        <v>146.774057796712</v>
      </c>
      <c r="F28" s="197" t="n">
        <f aca="false">IF(OR((F$13)="",($A28)=""),"- -",DEGREES( ACOS( COS(F$13)  *  COS($A28))))</f>
        <v>138.590377890729</v>
      </c>
      <c r="G28" s="197" t="n">
        <f aca="false">IF(OR((G$13)="",($A28)=""),"- -",DEGREES( ACOS( COS(G$13)  *  COS($A28))))</f>
        <v>127.761243907035</v>
      </c>
      <c r="H28" s="197" t="n">
        <f aca="false">IF(OR((H$13)="",($A28)=""),"- -",DEGREES( ACOS( COS(H$13)  *  COS($A28))))</f>
        <v>115.658906273255</v>
      </c>
      <c r="I28" s="197" t="n">
        <f aca="false">IF(OR((I$13)="",($A28)=""),"- -",DEGREES( ACOS( COS(I$13)  *  COS($A28))))</f>
        <v>102.952539642222</v>
      </c>
      <c r="J28" s="194" t="n">
        <f aca="false">IF(OR((J$13)="",($A28)=""),"- -",DEGREES( ACOS( COS(J$13)  *  COS($A28))))</f>
        <v>90</v>
      </c>
      <c r="K28" s="197" t="n">
        <f aca="false">IF(OR((K$13)="",($A28)=""),"- -",DEGREES( ACOS( COS(K$13)  *  COS($A28))))</f>
        <v>77.0474603577776</v>
      </c>
      <c r="L28" s="197" t="n">
        <f aca="false">IF(OR((L$13)="",($A28)=""),"- -",DEGREES( ACOS( COS(L$13)  *  COS($A28))))</f>
        <v>64.3410937267447</v>
      </c>
      <c r="M28" s="197" t="n">
        <f aca="false">IF(OR((M$13)="",($A28)=""),"- -",DEGREES( ACOS( COS(M$13)  *  COS($A28))))</f>
        <v>52.238756092965</v>
      </c>
      <c r="N28" s="197" t="n">
        <f aca="false">IF(OR((N$13)="",($A28)=""),"- -",DEGREES( ACOS( COS(N$13)  *  COS($A28))))</f>
        <v>41.4096221092709</v>
      </c>
      <c r="O28" s="197" t="n">
        <f aca="false">IF(OR((O$13)="",($A28)=""),"- -",DEGREES( ACOS( COS(O$13)  *  COS($A28))))</f>
        <v>33.2259422032876</v>
      </c>
      <c r="P28" s="194" t="n">
        <f aca="false">IF(OR((P$13)="",($A28)=""),"- -",DEGREES( ACOS( COS(P$13)  *  COS($A28))))</f>
        <v>30</v>
      </c>
      <c r="Q28" s="197" t="n">
        <f aca="false">IF(OR((Q$13)="",($A28)=""),"- -",DEGREES( ACOS( COS(Q$13)  *  COS($A28))))</f>
        <v>33.2259422032876</v>
      </c>
      <c r="R28" s="197" t="n">
        <f aca="false">IF(OR((R$13)="",($A28)=""),"- -",DEGREES( ACOS( COS(R$13)  *  COS($A28))))</f>
        <v>41.4096221092709</v>
      </c>
      <c r="S28" s="197" t="n">
        <f aca="false">IF(OR((S$13)="",($A28)=""),"- -",DEGREES( ACOS( COS(S$13)  *  COS($A28))))</f>
        <v>52.238756092965</v>
      </c>
      <c r="T28" s="197" t="n">
        <f aca="false">IF(OR((T$13)="",($A28)=""),"- -",DEGREES( ACOS( COS(T$13)  *  COS($A28))))</f>
        <v>64.3410937267447</v>
      </c>
      <c r="U28" s="197" t="n">
        <f aca="false">IF(OR((U$13)="",($A28)=""),"- -",DEGREES( ACOS( COS(U$13)  *  COS($A28))))</f>
        <v>77.0474603577776</v>
      </c>
      <c r="V28" s="194" t="n">
        <f aca="false">IF(OR((V$13)="",($A28)=""),"- -",DEGREES( ACOS( COS(V$13)  *  COS($A28))))</f>
        <v>90</v>
      </c>
      <c r="W28" s="197" t="n">
        <f aca="false">IF(OR((W$13)="",($A28)=""),"- -",DEGREES( ACOS( COS(W$13)  *  COS($A28))))</f>
        <v>102.952539642222</v>
      </c>
      <c r="X28" s="197" t="n">
        <f aca="false">IF(OR((X$13)="",($A28)=""),"- -",DEGREES( ACOS( COS(X$13)  *  COS($A28))))</f>
        <v>115.658906273255</v>
      </c>
      <c r="Y28" s="197" t="n">
        <f aca="false">IF(OR((Y$13)="",($A28)=""),"- -",DEGREES( ACOS( COS(Y$13)  *  COS($A28))))</f>
        <v>127.761243907035</v>
      </c>
      <c r="Z28" s="197" t="n">
        <f aca="false">IF(OR((Z$13)="",($A28)=""),"- -",DEGREES( ACOS( COS(Z$13)  *  COS($A28))))</f>
        <v>138.590377890729</v>
      </c>
      <c r="AA28" s="197" t="n">
        <f aca="false">IF(OR((AA$13)="",($A28)=""),"- -",DEGREES( ACOS( COS(AA$13)  *  COS($A28))))</f>
        <v>146.774057796712</v>
      </c>
      <c r="AB28" s="194" t="n">
        <f aca="false">IF(OR((AB$13)="",($A28)=""),"- -",DEGREES( ACOS( COS(AB$13)  *  COS($A28))))</f>
        <v>149.999998488501</v>
      </c>
      <c r="AC28" s="195" t="n">
        <f aca="false">IF(OR((AC$13)="",($A28)=""),"- -",DEGREES( ACOS( COS(AC$13)  *  COS($A28))))</f>
        <v>150</v>
      </c>
      <c r="AD28" s="195" t="n">
        <f aca="false">IF(OR((AD$13)="",($A28)=""),"- -",DEGREES( ACOS( COS(AD$13)  *  COS($A28))))</f>
        <v>150</v>
      </c>
      <c r="AE28" s="1"/>
      <c r="AF28" s="196" t="str">
        <f aca="false">IF(OR((AF$13)="",($A28)=""),"- -",DEGREES( ACOS( COS(AF$13)  *  COS($A28))))</f>
        <v>- -</v>
      </c>
      <c r="AG28" s="1"/>
      <c r="AH28" s="1"/>
      <c r="AI28" s="1"/>
      <c r="AJ28" s="1"/>
      <c r="AK28" s="1"/>
      <c r="AL28" s="1"/>
    </row>
    <row r="29" customFormat="false" ht="12.75" hidden="false" customHeight="true" outlineLevel="0" collapsed="false">
      <c r="A29" s="193" t="n">
        <f aca="false">RADIANS(MOD(B29-180,-360)+180)</f>
        <v>-2.35619449019234</v>
      </c>
      <c r="B29" s="182" t="n">
        <v>225</v>
      </c>
      <c r="C29" s="1"/>
      <c r="D29" s="194" t="n">
        <f aca="false">IF(OR((D$13)="",($A29)=""),"- -",DEGREES( ACOS( COS(D$13)  *  COS($A29))))</f>
        <v>134.999999991273</v>
      </c>
      <c r="E29" s="197" t="n">
        <f aca="false">IF(OR((E$13)="",($A29)=""),"- -",DEGREES( ACOS( COS(E$13)  *  COS($A29))))</f>
        <v>133.079517141871</v>
      </c>
      <c r="F29" s="197" t="n">
        <f aca="false">IF(OR((F$13)="",($A29)=""),"- -",DEGREES( ACOS( COS(F$13)  *  COS($A29))))</f>
        <v>127.761243907035</v>
      </c>
      <c r="G29" s="197" t="n">
        <f aca="false">IF(OR((G$13)="",($A29)=""),"- -",DEGREES( ACOS( COS(G$13)  *  COS($A29))))</f>
        <v>120</v>
      </c>
      <c r="H29" s="197" t="n">
        <f aca="false">IF(OR((H$13)="",($A29)=""),"- -",DEGREES( ACOS( COS(H$13)  *  COS($A29))))</f>
        <v>110.704811054635</v>
      </c>
      <c r="I29" s="197" t="n">
        <f aca="false">IF(OR((I$13)="",($A29)=""),"- -",DEGREES( ACOS( COS(I$13)  *  COS($A29))))</f>
        <v>100.5452905895</v>
      </c>
      <c r="J29" s="194" t="n">
        <f aca="false">IF(OR((J$13)="",($A29)=""),"- -",DEGREES( ACOS( COS(J$13)  *  COS($A29))))</f>
        <v>90</v>
      </c>
      <c r="K29" s="197" t="n">
        <f aca="false">IF(OR((K$13)="",($A29)=""),"- -",DEGREES( ACOS( COS(K$13)  *  COS($A29))))</f>
        <v>79.4547094105004</v>
      </c>
      <c r="L29" s="197" t="n">
        <f aca="false">IF(OR((L$13)="",($A29)=""),"- -",DEGREES( ACOS( COS(L$13)  *  COS($A29))))</f>
        <v>69.2951889453646</v>
      </c>
      <c r="M29" s="197" t="n">
        <f aca="false">IF(OR((M$13)="",($A29)=""),"- -",DEGREES( ACOS( COS(M$13)  *  COS($A29))))</f>
        <v>60</v>
      </c>
      <c r="N29" s="197" t="n">
        <f aca="false">IF(OR((N$13)="",($A29)=""),"- -",DEGREES( ACOS( COS(N$13)  *  COS($A29))))</f>
        <v>52.238756092965</v>
      </c>
      <c r="O29" s="197" t="n">
        <f aca="false">IF(OR((O$13)="",($A29)=""),"- -",DEGREES( ACOS( COS(O$13)  *  COS($A29))))</f>
        <v>46.9204828581291</v>
      </c>
      <c r="P29" s="194" t="n">
        <f aca="false">IF(OR((P$13)="",($A29)=""),"- -",DEGREES( ACOS( COS(P$13)  *  COS($A29))))</f>
        <v>45</v>
      </c>
      <c r="Q29" s="197" t="n">
        <f aca="false">IF(OR((Q$13)="",($A29)=""),"- -",DEGREES( ACOS( COS(Q$13)  *  COS($A29))))</f>
        <v>46.9204828581291</v>
      </c>
      <c r="R29" s="197" t="n">
        <f aca="false">IF(OR((R$13)="",($A29)=""),"- -",DEGREES( ACOS( COS(R$13)  *  COS($A29))))</f>
        <v>52.238756092965</v>
      </c>
      <c r="S29" s="197" t="n">
        <f aca="false">IF(OR((S$13)="",($A29)=""),"- -",DEGREES( ACOS( COS(S$13)  *  COS($A29))))</f>
        <v>60</v>
      </c>
      <c r="T29" s="197" t="n">
        <f aca="false">IF(OR((T$13)="",($A29)=""),"- -",DEGREES( ACOS( COS(T$13)  *  COS($A29))))</f>
        <v>69.2951889453646</v>
      </c>
      <c r="U29" s="197" t="n">
        <f aca="false">IF(OR((U$13)="",($A29)=""),"- -",DEGREES( ACOS( COS(U$13)  *  COS($A29))))</f>
        <v>79.4547094105004</v>
      </c>
      <c r="V29" s="194" t="n">
        <f aca="false">IF(OR((V$13)="",($A29)=""),"- -",DEGREES( ACOS( COS(V$13)  *  COS($A29))))</f>
        <v>90</v>
      </c>
      <c r="W29" s="197" t="n">
        <f aca="false">IF(OR((W$13)="",($A29)=""),"- -",DEGREES( ACOS( COS(W$13)  *  COS($A29))))</f>
        <v>100.5452905895</v>
      </c>
      <c r="X29" s="197" t="n">
        <f aca="false">IF(OR((X$13)="",($A29)=""),"- -",DEGREES( ACOS( COS(X$13)  *  COS($A29))))</f>
        <v>110.704811054635</v>
      </c>
      <c r="Y29" s="197" t="n">
        <f aca="false">IF(OR((Y$13)="",($A29)=""),"- -",DEGREES( ACOS( COS(Y$13)  *  COS($A29))))</f>
        <v>120</v>
      </c>
      <c r="Z29" s="197" t="n">
        <f aca="false">IF(OR((Z$13)="",($A29)=""),"- -",DEGREES( ACOS( COS(Z$13)  *  COS($A29))))</f>
        <v>127.761243907035</v>
      </c>
      <c r="AA29" s="197" t="n">
        <f aca="false">IF(OR((AA$13)="",($A29)=""),"- -",DEGREES( ACOS( COS(AA$13)  *  COS($A29))))</f>
        <v>133.079517141871</v>
      </c>
      <c r="AB29" s="194" t="n">
        <f aca="false">IF(OR((AB$13)="",($A29)=""),"- -",DEGREES( ACOS( COS(AB$13)  *  COS($A29))))</f>
        <v>134.999999127335</v>
      </c>
      <c r="AC29" s="195" t="n">
        <f aca="false">IF(OR((AC$13)="",($A29)=""),"- -",DEGREES( ACOS( COS(AC$13)  *  COS($A29))))</f>
        <v>135</v>
      </c>
      <c r="AD29" s="195" t="n">
        <f aca="false">IF(OR((AD$13)="",($A29)=""),"- -",DEGREES( ACOS( COS(AD$13)  *  COS($A29))))</f>
        <v>135</v>
      </c>
      <c r="AE29" s="1"/>
      <c r="AF29" s="196" t="str">
        <f aca="false">IF(OR((AF$13)="",($A29)=""),"- -",DEGREES( ACOS( COS(AF$13)  *  COS($A29))))</f>
        <v>- -</v>
      </c>
      <c r="AG29" s="1"/>
      <c r="AH29" s="1"/>
      <c r="AI29" s="1"/>
      <c r="AJ29" s="1"/>
      <c r="AK29" s="1"/>
      <c r="AL29" s="1"/>
    </row>
    <row r="30" customFormat="false" ht="12.75" hidden="false" customHeight="true" outlineLevel="0" collapsed="false">
      <c r="A30" s="193" t="n">
        <f aca="false">RADIANS(MOD(B30-180,-360)+180)</f>
        <v>-2.0943951023932</v>
      </c>
      <c r="B30" s="182" t="n">
        <v>240</v>
      </c>
      <c r="C30" s="1"/>
      <c r="D30" s="194" t="n">
        <f aca="false">IF(OR((D$13)="",($A30)=""),"- -",DEGREES( ACOS( COS(D$13)  *  COS($A30))))</f>
        <v>119.999999994962</v>
      </c>
      <c r="E30" s="197" t="n">
        <f aca="false">IF(OR((E$13)="",($A30)=""),"- -",DEGREES( ACOS( COS(E$13)  *  COS($A30))))</f>
        <v>118.879094017428</v>
      </c>
      <c r="F30" s="197" t="n">
        <f aca="false">IF(OR((F$13)="",($A30)=""),"- -",DEGREES( ACOS( COS(F$13)  *  COS($A30))))</f>
        <v>115.658906273255</v>
      </c>
      <c r="G30" s="197" t="n">
        <f aca="false">IF(OR((G$13)="",($A30)=""),"- -",DEGREES( ACOS( COS(G$13)  *  COS($A30))))</f>
        <v>110.704811054635</v>
      </c>
      <c r="H30" s="197" t="n">
        <f aca="false">IF(OR((H$13)="",($A30)=""),"- -",DEGREES( ACOS( COS(H$13)  *  COS($A30))))</f>
        <v>104.47751218593</v>
      </c>
      <c r="I30" s="197" t="n">
        <f aca="false">IF(OR((I$13)="",($A30)=""),"- -",DEGREES( ACOS( COS(I$13)  *  COS($A30))))</f>
        <v>97.4354722261319</v>
      </c>
      <c r="J30" s="194" t="n">
        <f aca="false">IF(OR((J$13)="",($A30)=""),"- -",DEGREES( ACOS( COS(J$13)  *  COS($A30))))</f>
        <v>90</v>
      </c>
      <c r="K30" s="197" t="n">
        <f aca="false">IF(OR((K$13)="",($A30)=""),"- -",DEGREES( ACOS( COS(K$13)  *  COS($A30))))</f>
        <v>82.5645277738682</v>
      </c>
      <c r="L30" s="197" t="n">
        <f aca="false">IF(OR((L$13)="",($A30)=""),"- -",DEGREES( ACOS( COS(L$13)  *  COS($A30))))</f>
        <v>75.5224878140701</v>
      </c>
      <c r="M30" s="197" t="n">
        <f aca="false">IF(OR((M$13)="",($A30)=""),"- -",DEGREES( ACOS( COS(M$13)  *  COS($A30))))</f>
        <v>69.2951889453646</v>
      </c>
      <c r="N30" s="197" t="n">
        <f aca="false">IF(OR((N$13)="",($A30)=""),"- -",DEGREES( ACOS( COS(N$13)  *  COS($A30))))</f>
        <v>64.3410937267447</v>
      </c>
      <c r="O30" s="197" t="n">
        <f aca="false">IF(OR((O$13)="",($A30)=""),"- -",DEGREES( ACOS( COS(O$13)  *  COS($A30))))</f>
        <v>61.1209059825724</v>
      </c>
      <c r="P30" s="194" t="n">
        <f aca="false">IF(OR((P$13)="",($A30)=""),"- -",DEGREES( ACOS( COS(P$13)  *  COS($A30))))</f>
        <v>60</v>
      </c>
      <c r="Q30" s="197" t="n">
        <f aca="false">IF(OR((Q$13)="",($A30)=""),"- -",DEGREES( ACOS( COS(Q$13)  *  COS($A30))))</f>
        <v>61.1209059825724</v>
      </c>
      <c r="R30" s="197" t="n">
        <f aca="false">IF(OR((R$13)="",($A30)=""),"- -",DEGREES( ACOS( COS(R$13)  *  COS($A30))))</f>
        <v>64.3410937267447</v>
      </c>
      <c r="S30" s="197" t="n">
        <f aca="false">IF(OR((S$13)="",($A30)=""),"- -",DEGREES( ACOS( COS(S$13)  *  COS($A30))))</f>
        <v>69.2951889453646</v>
      </c>
      <c r="T30" s="197" t="n">
        <f aca="false">IF(OR((T$13)="",($A30)=""),"- -",DEGREES( ACOS( COS(T$13)  *  COS($A30))))</f>
        <v>75.5224878140701</v>
      </c>
      <c r="U30" s="197" t="n">
        <f aca="false">IF(OR((U$13)="",($A30)=""),"- -",DEGREES( ACOS( COS(U$13)  *  COS($A30))))</f>
        <v>82.5645277738682</v>
      </c>
      <c r="V30" s="194" t="n">
        <f aca="false">IF(OR((V$13)="",($A30)=""),"- -",DEGREES( ACOS( COS(V$13)  *  COS($A30))))</f>
        <v>90</v>
      </c>
      <c r="W30" s="197" t="n">
        <f aca="false">IF(OR((W$13)="",($A30)=""),"- -",DEGREES( ACOS( COS(W$13)  *  COS($A30))))</f>
        <v>97.4354722261319</v>
      </c>
      <c r="X30" s="197" t="n">
        <f aca="false">IF(OR((X$13)="",($A30)=""),"- -",DEGREES( ACOS( COS(X$13)  *  COS($A30))))</f>
        <v>104.47751218593</v>
      </c>
      <c r="Y30" s="197" t="n">
        <f aca="false">IF(OR((Y$13)="",($A30)=""),"- -",DEGREES( ACOS( COS(Y$13)  *  COS($A30))))</f>
        <v>110.704811054635</v>
      </c>
      <c r="Z30" s="197" t="n">
        <f aca="false">IF(OR((Z$13)="",($A30)=""),"- -",DEGREES( ACOS( COS(Z$13)  *  COS($A30))))</f>
        <v>115.658906273255</v>
      </c>
      <c r="AA30" s="197" t="n">
        <f aca="false">IF(OR((AA$13)="",($A30)=""),"- -",DEGREES( ACOS( COS(AA$13)  *  COS($A30))))</f>
        <v>118.879094017428</v>
      </c>
      <c r="AB30" s="194" t="n">
        <f aca="false">IF(OR((AB$13)="",($A30)=""),"- -",DEGREES( ACOS( COS(AB$13)  *  COS($A30))))</f>
        <v>119.999999496167</v>
      </c>
      <c r="AC30" s="195" t="n">
        <f aca="false">IF(OR((AC$13)="",($A30)=""),"- -",DEGREES( ACOS( COS(AC$13)  *  COS($A30))))</f>
        <v>120</v>
      </c>
      <c r="AD30" s="195" t="n">
        <f aca="false">IF(OR((AD$13)="",($A30)=""),"- -",DEGREES( ACOS( COS(AD$13)  *  COS($A30))))</f>
        <v>120</v>
      </c>
      <c r="AE30" s="1"/>
      <c r="AF30" s="196" t="str">
        <f aca="false">IF(OR((AF$13)="",($A30)=""),"- -",DEGREES( ACOS( COS(AF$13)  *  COS($A30))))</f>
        <v>- -</v>
      </c>
      <c r="AG30" s="1"/>
      <c r="AH30" s="1"/>
      <c r="AI30" s="1"/>
      <c r="AJ30" s="1"/>
      <c r="AK30" s="1"/>
      <c r="AL30" s="1"/>
    </row>
    <row r="31" customFormat="false" ht="12.75" hidden="false" customHeight="true" outlineLevel="0" collapsed="false">
      <c r="A31" s="193" t="n">
        <f aca="false">RADIANS(MOD(B31-180,-360)+180)</f>
        <v>-1.83259571459405</v>
      </c>
      <c r="B31" s="182" t="n">
        <v>255</v>
      </c>
      <c r="C31" s="1"/>
      <c r="D31" s="194" t="n">
        <f aca="false">IF(OR((D$13)="",($A31)=""),"- -",DEGREES( ACOS( COS(D$13)  *  COS($A31))))</f>
        <v>104.999999997662</v>
      </c>
      <c r="E31" s="197" t="n">
        <f aca="false">IF(OR((E$13)="",($A31)=""),"- -",DEGREES( ACOS( COS(E$13)  *  COS($A31))))</f>
        <v>104.47751218593</v>
      </c>
      <c r="F31" s="197" t="n">
        <f aca="false">IF(OR((F$13)="",($A31)=""),"- -",DEGREES( ACOS( COS(F$13)  *  COS($A31))))</f>
        <v>102.952539642222</v>
      </c>
      <c r="G31" s="197" t="n">
        <f aca="false">IF(OR((G$13)="",($A31)=""),"- -",DEGREES( ACOS( COS(G$13)  *  COS($A31))))</f>
        <v>100.5452905895</v>
      </c>
      <c r="H31" s="197" t="n">
        <f aca="false">IF(OR((H$13)="",($A31)=""),"- -",DEGREES( ACOS( COS(H$13)  *  COS($A31))))</f>
        <v>97.4354722261319</v>
      </c>
      <c r="I31" s="197" t="n">
        <f aca="false">IF(OR((I$13)="",($A31)=""),"- -",DEGREES( ACOS( COS(I$13)  *  COS($A31))))</f>
        <v>93.8409657162582</v>
      </c>
      <c r="J31" s="194" t="n">
        <f aca="false">IF(OR((J$13)="",($A31)=""),"- -",DEGREES( ACOS( COS(J$13)  *  COS($A31))))</f>
        <v>90</v>
      </c>
      <c r="K31" s="197" t="n">
        <f aca="false">IF(OR((K$13)="",($A31)=""),"- -",DEGREES( ACOS( COS(K$13)  *  COS($A31))))</f>
        <v>86.1590342837419</v>
      </c>
      <c r="L31" s="197" t="n">
        <f aca="false">IF(OR((L$13)="",($A31)=""),"- -",DEGREES( ACOS( COS(L$13)  *  COS($A31))))</f>
        <v>82.5645277738682</v>
      </c>
      <c r="M31" s="197" t="n">
        <f aca="false">IF(OR((M$13)="",($A31)=""),"- -",DEGREES( ACOS( COS(M$13)  *  COS($A31))))</f>
        <v>79.4547094105004</v>
      </c>
      <c r="N31" s="197" t="n">
        <f aca="false">IF(OR((N$13)="",($A31)=""),"- -",DEGREES( ACOS( COS(N$13)  *  COS($A31))))</f>
        <v>77.0474603577776</v>
      </c>
      <c r="O31" s="197" t="n">
        <f aca="false">IF(OR((O$13)="",($A31)=""),"- -",DEGREES( ACOS( COS(O$13)  *  COS($A31))))</f>
        <v>75.5224878140701</v>
      </c>
      <c r="P31" s="194" t="n">
        <f aca="false">IF(OR((P$13)="",($A31)=""),"- -",DEGREES( ACOS( COS(P$13)  *  COS($A31))))</f>
        <v>75</v>
      </c>
      <c r="Q31" s="197" t="n">
        <f aca="false">IF(OR((Q$13)="",($A31)=""),"- -",DEGREES( ACOS( COS(Q$13)  *  COS($A31))))</f>
        <v>75.5224878140701</v>
      </c>
      <c r="R31" s="197" t="n">
        <f aca="false">IF(OR((R$13)="",($A31)=""),"- -",DEGREES( ACOS( COS(R$13)  *  COS($A31))))</f>
        <v>77.0474603577776</v>
      </c>
      <c r="S31" s="197" t="n">
        <f aca="false">IF(OR((S$13)="",($A31)=""),"- -",DEGREES( ACOS( COS(S$13)  *  COS($A31))))</f>
        <v>79.4547094105004</v>
      </c>
      <c r="T31" s="197" t="n">
        <f aca="false">IF(OR((T$13)="",($A31)=""),"- -",DEGREES( ACOS( COS(T$13)  *  COS($A31))))</f>
        <v>82.5645277738682</v>
      </c>
      <c r="U31" s="197" t="n">
        <f aca="false">IF(OR((U$13)="",($A31)=""),"- -",DEGREES( ACOS( COS(U$13)  *  COS($A31))))</f>
        <v>86.1590342837419</v>
      </c>
      <c r="V31" s="194" t="n">
        <f aca="false">IF(OR((V$13)="",($A31)=""),"- -",DEGREES( ACOS( COS(V$13)  *  COS($A31))))</f>
        <v>90</v>
      </c>
      <c r="W31" s="197" t="n">
        <f aca="false">IF(OR((W$13)="",($A31)=""),"- -",DEGREES( ACOS( COS(W$13)  *  COS($A31))))</f>
        <v>93.8409657162582</v>
      </c>
      <c r="X31" s="197" t="n">
        <f aca="false">IF(OR((X$13)="",($A31)=""),"- -",DEGREES( ACOS( COS(X$13)  *  COS($A31))))</f>
        <v>97.4354722261319</v>
      </c>
      <c r="Y31" s="197" t="n">
        <f aca="false">IF(OR((Y$13)="",($A31)=""),"- -",DEGREES( ACOS( COS(Y$13)  *  COS($A31))))</f>
        <v>100.5452905895</v>
      </c>
      <c r="Z31" s="197" t="n">
        <f aca="false">IF(OR((Z$13)="",($A31)=""),"- -",DEGREES( ACOS( COS(Z$13)  *  COS($A31))))</f>
        <v>102.952539642222</v>
      </c>
      <c r="AA31" s="197" t="n">
        <f aca="false">IF(OR((AA$13)="",($A31)=""),"- -",DEGREES( ACOS( COS(AA$13)  *  COS($A31))))</f>
        <v>104.47751218593</v>
      </c>
      <c r="AB31" s="194" t="n">
        <f aca="false">IF(OR((AB$13)="",($A31)=""),"- -",DEGREES( ACOS( COS(AB$13)  *  COS($A31))))</f>
        <v>104.99999976617</v>
      </c>
      <c r="AC31" s="195" t="n">
        <f aca="false">IF(OR((AC$13)="",($A31)=""),"- -",DEGREES( ACOS( COS(AC$13)  *  COS($A31))))</f>
        <v>105</v>
      </c>
      <c r="AD31" s="195" t="n">
        <f aca="false">IF(OR((AD$13)="",($A31)=""),"- -",DEGREES( ACOS( COS(AD$13)  *  COS($A31))))</f>
        <v>105</v>
      </c>
      <c r="AE31" s="1"/>
      <c r="AF31" s="196" t="str">
        <f aca="false">IF(OR((AF$13)="",($A31)=""),"- -",DEGREES( ACOS( COS(AF$13)  *  COS($A31))))</f>
        <v>- -</v>
      </c>
      <c r="AG31" s="1"/>
      <c r="AH31" s="1"/>
      <c r="AI31" s="1"/>
      <c r="AJ31" s="1"/>
      <c r="AK31" s="1"/>
      <c r="AL31" s="1"/>
    </row>
    <row r="32" customFormat="false" ht="12.75" hidden="false" customHeight="true" outlineLevel="0" collapsed="false">
      <c r="A32" s="193" t="n">
        <f aca="false">RADIANS(MOD(B32-180,-360)+180)</f>
        <v>-1.5707963267949</v>
      </c>
      <c r="B32" s="182" t="n">
        <v>270</v>
      </c>
      <c r="C32" s="1"/>
      <c r="D32" s="194" t="n">
        <f aca="false">IF(OR((D$13)="",($A32)=""),"- -",DEGREES( ACOS( COS(D$13)  *  COS($A32))))</f>
        <v>90</v>
      </c>
      <c r="E32" s="194" t="n">
        <f aca="false">IF(OR((E$13)="",($A32)=""),"- -",DEGREES( ACOS( COS(E$13)  *  COS($A32))))</f>
        <v>90</v>
      </c>
      <c r="F32" s="194" t="n">
        <f aca="false">IF(OR((F$13)="",($A32)=""),"- -",DEGREES( ACOS( COS(F$13)  *  COS($A32))))</f>
        <v>90</v>
      </c>
      <c r="G32" s="194" t="n">
        <f aca="false">IF(OR((G$13)="",($A32)=""),"- -",DEGREES( ACOS( COS(G$13)  *  COS($A32))))</f>
        <v>90</v>
      </c>
      <c r="H32" s="194" t="n">
        <f aca="false">IF(OR((H$13)="",($A32)=""),"- -",DEGREES( ACOS( COS(H$13)  *  COS($A32))))</f>
        <v>90</v>
      </c>
      <c r="I32" s="194" t="n">
        <f aca="false">IF(OR((I$13)="",($A32)=""),"- -",DEGREES( ACOS( COS(I$13)  *  COS($A32))))</f>
        <v>90</v>
      </c>
      <c r="J32" s="194" t="n">
        <f aca="false">IF(OR((J$13)="",($A32)=""),"- -",DEGREES( ACOS( COS(J$13)  *  COS($A32))))</f>
        <v>90</v>
      </c>
      <c r="K32" s="194" t="n">
        <f aca="false">IF(OR((K$13)="",($A32)=""),"- -",DEGREES( ACOS( COS(K$13)  *  COS($A32))))</f>
        <v>90</v>
      </c>
      <c r="L32" s="194" t="n">
        <f aca="false">IF(OR((L$13)="",($A32)=""),"- -",DEGREES( ACOS( COS(L$13)  *  COS($A32))))</f>
        <v>90</v>
      </c>
      <c r="M32" s="194" t="n">
        <f aca="false">IF(OR((M$13)="",($A32)=""),"- -",DEGREES( ACOS( COS(M$13)  *  COS($A32))))</f>
        <v>90</v>
      </c>
      <c r="N32" s="194" t="n">
        <f aca="false">IF(OR((N$13)="",($A32)=""),"- -",DEGREES( ACOS( COS(N$13)  *  COS($A32))))</f>
        <v>90</v>
      </c>
      <c r="O32" s="194" t="n">
        <f aca="false">IF(OR((O$13)="",($A32)=""),"- -",DEGREES( ACOS( COS(O$13)  *  COS($A32))))</f>
        <v>90</v>
      </c>
      <c r="P32" s="194" t="n">
        <f aca="false">IF(OR((P$13)="",($A32)=""),"- -",DEGREES( ACOS( COS(P$13)  *  COS($A32))))</f>
        <v>90</v>
      </c>
      <c r="Q32" s="194" t="n">
        <f aca="false">IF(OR((Q$13)="",($A32)=""),"- -",DEGREES( ACOS( COS(Q$13)  *  COS($A32))))</f>
        <v>90</v>
      </c>
      <c r="R32" s="194" t="n">
        <f aca="false">IF(OR((R$13)="",($A32)=""),"- -",DEGREES( ACOS( COS(R$13)  *  COS($A32))))</f>
        <v>90</v>
      </c>
      <c r="S32" s="194" t="n">
        <f aca="false">IF(OR((S$13)="",($A32)=""),"- -",DEGREES( ACOS( COS(S$13)  *  COS($A32))))</f>
        <v>90</v>
      </c>
      <c r="T32" s="194" t="n">
        <f aca="false">IF(OR((T$13)="",($A32)=""),"- -",DEGREES( ACOS( COS(T$13)  *  COS($A32))))</f>
        <v>90</v>
      </c>
      <c r="U32" s="194" t="n">
        <f aca="false">IF(OR((U$13)="",($A32)=""),"- -",DEGREES( ACOS( COS(U$13)  *  COS($A32))))</f>
        <v>90</v>
      </c>
      <c r="V32" s="194" t="n">
        <f aca="false">IF(OR((V$13)="",($A32)=""),"- -",DEGREES( ACOS( COS(V$13)  *  COS($A32))))</f>
        <v>90</v>
      </c>
      <c r="W32" s="194" t="n">
        <f aca="false">IF(OR((W$13)="",($A32)=""),"- -",DEGREES( ACOS( COS(W$13)  *  COS($A32))))</f>
        <v>90</v>
      </c>
      <c r="X32" s="194" t="n">
        <f aca="false">IF(OR((X$13)="",($A32)=""),"- -",DEGREES( ACOS( COS(X$13)  *  COS($A32))))</f>
        <v>90</v>
      </c>
      <c r="Y32" s="194" t="n">
        <f aca="false">IF(OR((Y$13)="",($A32)=""),"- -",DEGREES( ACOS( COS(Y$13)  *  COS($A32))))</f>
        <v>90</v>
      </c>
      <c r="Z32" s="194" t="n">
        <f aca="false">IF(OR((Z$13)="",($A32)=""),"- -",DEGREES( ACOS( COS(Z$13)  *  COS($A32))))</f>
        <v>90</v>
      </c>
      <c r="AA32" s="194" t="n">
        <f aca="false">IF(OR((AA$13)="",($A32)=""),"- -",DEGREES( ACOS( COS(AA$13)  *  COS($A32))))</f>
        <v>90</v>
      </c>
      <c r="AB32" s="194" t="n">
        <f aca="false">IF(OR((AB$13)="",($A32)=""),"- -",DEGREES( ACOS( COS(AB$13)  *  COS($A32))))</f>
        <v>90</v>
      </c>
      <c r="AC32" s="195" t="n">
        <f aca="false">IF(OR((AC$13)="",($A32)=""),"- -",DEGREES( ACOS( COS(AC$13)  *  COS($A32))))</f>
        <v>90</v>
      </c>
      <c r="AD32" s="195" t="n">
        <f aca="false">IF(OR((AD$13)="",($A32)=""),"- -",DEGREES( ACOS( COS(AD$13)  *  COS($A32))))</f>
        <v>90</v>
      </c>
      <c r="AE32" s="1"/>
      <c r="AF32" s="196" t="str">
        <f aca="false">IF(OR((AF$13)="",($A32)=""),"- -",DEGREES( ACOS( COS(AF$13)  *  COS($A32))))</f>
        <v>- -</v>
      </c>
      <c r="AG32" s="1"/>
      <c r="AH32" s="1"/>
      <c r="AI32" s="1"/>
      <c r="AJ32" s="1"/>
      <c r="AK32" s="1"/>
      <c r="AL32" s="1"/>
    </row>
    <row r="33" customFormat="false" ht="12.75" hidden="false" customHeight="true" outlineLevel="0" collapsed="false">
      <c r="A33" s="193" t="n">
        <f aca="false">RADIANS(MOD(B33-180,-360)+180)</f>
        <v>-1.30899693899575</v>
      </c>
      <c r="B33" s="182" t="n">
        <v>285</v>
      </c>
      <c r="C33" s="1"/>
      <c r="D33" s="194" t="n">
        <f aca="false">IF(OR((D$13)="",($A33)=""),"- -",DEGREES( ACOS( COS(D$13)  *  COS($A33))))</f>
        <v>75.0000000023383</v>
      </c>
      <c r="E33" s="197" t="n">
        <f aca="false">IF(OR((E$13)="",($A33)=""),"- -",DEGREES( ACOS( COS(E$13)  *  COS($A33))))</f>
        <v>75.5224878140701</v>
      </c>
      <c r="F33" s="197" t="n">
        <f aca="false">IF(OR((F$13)="",($A33)=""),"- -",DEGREES( ACOS( COS(F$13)  *  COS($A33))))</f>
        <v>77.0474603577776</v>
      </c>
      <c r="G33" s="197" t="n">
        <f aca="false">IF(OR((G$13)="",($A33)=""),"- -",DEGREES( ACOS( COS(G$13)  *  COS($A33))))</f>
        <v>79.4547094105004</v>
      </c>
      <c r="H33" s="197" t="n">
        <f aca="false">IF(OR((H$13)="",($A33)=""),"- -",DEGREES( ACOS( COS(H$13)  *  COS($A33))))</f>
        <v>82.5645277738682</v>
      </c>
      <c r="I33" s="197" t="n">
        <f aca="false">IF(OR((I$13)="",($A33)=""),"- -",DEGREES( ACOS( COS(I$13)  *  COS($A33))))</f>
        <v>86.1590342837419</v>
      </c>
      <c r="J33" s="194" t="n">
        <f aca="false">IF(OR((J$13)="",($A33)=""),"- -",DEGREES( ACOS( COS(J$13)  *  COS($A33))))</f>
        <v>90</v>
      </c>
      <c r="K33" s="197" t="n">
        <f aca="false">IF(OR((K$13)="",($A33)=""),"- -",DEGREES( ACOS( COS(K$13)  *  COS($A33))))</f>
        <v>93.8409657162582</v>
      </c>
      <c r="L33" s="197" t="n">
        <f aca="false">IF(OR((L$13)="",($A33)=""),"- -",DEGREES( ACOS( COS(L$13)  *  COS($A33))))</f>
        <v>97.4354722261319</v>
      </c>
      <c r="M33" s="197" t="n">
        <f aca="false">IF(OR((M$13)="",($A33)=""),"- -",DEGREES( ACOS( COS(M$13)  *  COS($A33))))</f>
        <v>100.5452905895</v>
      </c>
      <c r="N33" s="197" t="n">
        <f aca="false">IF(OR((N$13)="",($A33)=""),"- -",DEGREES( ACOS( COS(N$13)  *  COS($A33))))</f>
        <v>102.952539642222</v>
      </c>
      <c r="O33" s="197" t="n">
        <f aca="false">IF(OR((O$13)="",($A33)=""),"- -",DEGREES( ACOS( COS(O$13)  *  COS($A33))))</f>
        <v>104.47751218593</v>
      </c>
      <c r="P33" s="194" t="n">
        <f aca="false">IF(OR((P$13)="",($A33)=""),"- -",DEGREES( ACOS( COS(P$13)  *  COS($A33))))</f>
        <v>105</v>
      </c>
      <c r="Q33" s="197" t="n">
        <f aca="false">IF(OR((Q$13)="",($A33)=""),"- -",DEGREES( ACOS( COS(Q$13)  *  COS($A33))))</f>
        <v>104.47751218593</v>
      </c>
      <c r="R33" s="197" t="n">
        <f aca="false">IF(OR((R$13)="",($A33)=""),"- -",DEGREES( ACOS( COS(R$13)  *  COS($A33))))</f>
        <v>102.952539642222</v>
      </c>
      <c r="S33" s="197" t="n">
        <f aca="false">IF(OR((S$13)="",($A33)=""),"- -",DEGREES( ACOS( COS(S$13)  *  COS($A33))))</f>
        <v>100.5452905895</v>
      </c>
      <c r="T33" s="197" t="n">
        <f aca="false">IF(OR((T$13)="",($A33)=""),"- -",DEGREES( ACOS( COS(T$13)  *  COS($A33))))</f>
        <v>97.4354722261319</v>
      </c>
      <c r="U33" s="197" t="n">
        <f aca="false">IF(OR((U$13)="",($A33)=""),"- -",DEGREES( ACOS( COS(U$13)  *  COS($A33))))</f>
        <v>93.8409657162582</v>
      </c>
      <c r="V33" s="194" t="n">
        <f aca="false">IF(OR((V$13)="",($A33)=""),"- -",DEGREES( ACOS( COS(V$13)  *  COS($A33))))</f>
        <v>90</v>
      </c>
      <c r="W33" s="197" t="n">
        <f aca="false">IF(OR((W$13)="",($A33)=""),"- -",DEGREES( ACOS( COS(W$13)  *  COS($A33))))</f>
        <v>86.1590342837419</v>
      </c>
      <c r="X33" s="197" t="n">
        <f aca="false">IF(OR((X$13)="",($A33)=""),"- -",DEGREES( ACOS( COS(X$13)  *  COS($A33))))</f>
        <v>82.5645277738682</v>
      </c>
      <c r="Y33" s="197" t="n">
        <f aca="false">IF(OR((Y$13)="",($A33)=""),"- -",DEGREES( ACOS( COS(Y$13)  *  COS($A33))))</f>
        <v>79.4547094105004</v>
      </c>
      <c r="Z33" s="197" t="n">
        <f aca="false">IF(OR((Z$13)="",($A33)=""),"- -",DEGREES( ACOS( COS(Z$13)  *  COS($A33))))</f>
        <v>77.0474603577776</v>
      </c>
      <c r="AA33" s="197" t="n">
        <f aca="false">IF(OR((AA$13)="",($A33)=""),"- -",DEGREES( ACOS( COS(AA$13)  *  COS($A33))))</f>
        <v>75.5224878140701</v>
      </c>
      <c r="AB33" s="194" t="n">
        <f aca="false">IF(OR((AB$13)="",($A33)=""),"- -",DEGREES( ACOS( COS(AB$13)  *  COS($A33))))</f>
        <v>75.0000002338298</v>
      </c>
      <c r="AC33" s="195" t="n">
        <f aca="false">IF(OR((AC$13)="",($A33)=""),"- -",DEGREES( ACOS( COS(AC$13)  *  COS($A33))))</f>
        <v>75</v>
      </c>
      <c r="AD33" s="195" t="n">
        <f aca="false">IF(OR((AD$13)="",($A33)=""),"- -",DEGREES( ACOS( COS(AD$13)  *  COS($A33))))</f>
        <v>75</v>
      </c>
      <c r="AE33" s="1"/>
      <c r="AF33" s="196" t="str">
        <f aca="false">IF(OR((AF$13)="",($A33)=""),"- -",DEGREES( ACOS( COS(AF$13)  *  COS($A33))))</f>
        <v>- -</v>
      </c>
      <c r="AG33" s="1"/>
      <c r="AH33" s="1"/>
      <c r="AI33" s="1"/>
      <c r="AJ33" s="1"/>
      <c r="AK33" s="1"/>
      <c r="AL33" s="1"/>
    </row>
    <row r="34" customFormat="false" ht="12.75" hidden="false" customHeight="true" outlineLevel="0" collapsed="false">
      <c r="A34" s="193" t="n">
        <f aca="false">RADIANS(MOD(B34-180,-360)+180)</f>
        <v>-1.0471975511966</v>
      </c>
      <c r="B34" s="182" t="n">
        <v>300</v>
      </c>
      <c r="C34" s="1"/>
      <c r="D34" s="194" t="n">
        <f aca="false">IF(OR((D$13)="",($A34)=""),"- -",DEGREES( ACOS( COS(D$13)  *  COS($A34))))</f>
        <v>60.0000000050383</v>
      </c>
      <c r="E34" s="197" t="n">
        <f aca="false">IF(OR((E$13)="",($A34)=""),"- -",DEGREES( ACOS( COS(E$13)  *  COS($A34))))</f>
        <v>61.1209059825724</v>
      </c>
      <c r="F34" s="197" t="n">
        <f aca="false">IF(OR((F$13)="",($A34)=""),"- -",DEGREES( ACOS( COS(F$13)  *  COS($A34))))</f>
        <v>64.3410937267447</v>
      </c>
      <c r="G34" s="197" t="n">
        <f aca="false">IF(OR((G$13)="",($A34)=""),"- -",DEGREES( ACOS( COS(G$13)  *  COS($A34))))</f>
        <v>69.2951889453646</v>
      </c>
      <c r="H34" s="197" t="n">
        <f aca="false">IF(OR((H$13)="",($A34)=""),"- -",DEGREES( ACOS( COS(H$13)  *  COS($A34))))</f>
        <v>75.5224878140701</v>
      </c>
      <c r="I34" s="197" t="n">
        <f aca="false">IF(OR((I$13)="",($A34)=""),"- -",DEGREES( ACOS( COS(I$13)  *  COS($A34))))</f>
        <v>82.5645277738682</v>
      </c>
      <c r="J34" s="194" t="n">
        <f aca="false">IF(OR((J$13)="",($A34)=""),"- -",DEGREES( ACOS( COS(J$13)  *  COS($A34))))</f>
        <v>90</v>
      </c>
      <c r="K34" s="197" t="n">
        <f aca="false">IF(OR((K$13)="",($A34)=""),"- -",DEGREES( ACOS( COS(K$13)  *  COS($A34))))</f>
        <v>97.4354722261319</v>
      </c>
      <c r="L34" s="197" t="n">
        <f aca="false">IF(OR((L$13)="",($A34)=""),"- -",DEGREES( ACOS( COS(L$13)  *  COS($A34))))</f>
        <v>104.47751218593</v>
      </c>
      <c r="M34" s="197" t="n">
        <f aca="false">IF(OR((M$13)="",($A34)=""),"- -",DEGREES( ACOS( COS(M$13)  *  COS($A34))))</f>
        <v>110.704811054635</v>
      </c>
      <c r="N34" s="197" t="n">
        <f aca="false">IF(OR((N$13)="",($A34)=""),"- -",DEGREES( ACOS( COS(N$13)  *  COS($A34))))</f>
        <v>115.658906273255</v>
      </c>
      <c r="O34" s="197" t="n">
        <f aca="false">IF(OR((O$13)="",($A34)=""),"- -",DEGREES( ACOS( COS(O$13)  *  COS($A34))))</f>
        <v>118.879094017428</v>
      </c>
      <c r="P34" s="194" t="n">
        <f aca="false">IF(OR((P$13)="",($A34)=""),"- -",DEGREES( ACOS( COS(P$13)  *  COS($A34))))</f>
        <v>120</v>
      </c>
      <c r="Q34" s="197" t="n">
        <f aca="false">IF(OR((Q$13)="",($A34)=""),"- -",DEGREES( ACOS( COS(Q$13)  *  COS($A34))))</f>
        <v>118.879094017428</v>
      </c>
      <c r="R34" s="197" t="n">
        <f aca="false">IF(OR((R$13)="",($A34)=""),"- -",DEGREES( ACOS( COS(R$13)  *  COS($A34))))</f>
        <v>115.658906273255</v>
      </c>
      <c r="S34" s="197" t="n">
        <f aca="false">IF(OR((S$13)="",($A34)=""),"- -",DEGREES( ACOS( COS(S$13)  *  COS($A34))))</f>
        <v>110.704811054635</v>
      </c>
      <c r="T34" s="197" t="n">
        <f aca="false">IF(OR((T$13)="",($A34)=""),"- -",DEGREES( ACOS( COS(T$13)  *  COS($A34))))</f>
        <v>104.47751218593</v>
      </c>
      <c r="U34" s="197" t="n">
        <f aca="false">IF(OR((U$13)="",($A34)=""),"- -",DEGREES( ACOS( COS(U$13)  *  COS($A34))))</f>
        <v>97.4354722261319</v>
      </c>
      <c r="V34" s="194" t="n">
        <f aca="false">IF(OR((V$13)="",($A34)=""),"- -",DEGREES( ACOS( COS(V$13)  *  COS($A34))))</f>
        <v>90</v>
      </c>
      <c r="W34" s="197" t="n">
        <f aca="false">IF(OR((W$13)="",($A34)=""),"- -",DEGREES( ACOS( COS(W$13)  *  COS($A34))))</f>
        <v>82.5645277738682</v>
      </c>
      <c r="X34" s="197" t="n">
        <f aca="false">IF(OR((X$13)="",($A34)=""),"- -",DEGREES( ACOS( COS(X$13)  *  COS($A34))))</f>
        <v>75.5224878140701</v>
      </c>
      <c r="Y34" s="197" t="n">
        <f aca="false">IF(OR((Y$13)="",($A34)=""),"- -",DEGREES( ACOS( COS(Y$13)  *  COS($A34))))</f>
        <v>69.2951889453646</v>
      </c>
      <c r="Z34" s="197" t="n">
        <f aca="false">IF(OR((Z$13)="",($A34)=""),"- -",DEGREES( ACOS( COS(Z$13)  *  COS($A34))))</f>
        <v>64.3410937267447</v>
      </c>
      <c r="AA34" s="197" t="n">
        <f aca="false">IF(OR((AA$13)="",($A34)=""),"- -",DEGREES( ACOS( COS(AA$13)  *  COS($A34))))</f>
        <v>61.1209059825724</v>
      </c>
      <c r="AB34" s="194" t="n">
        <f aca="false">IF(OR((AB$13)="",($A34)=""),"- -",DEGREES( ACOS( COS(AB$13)  *  COS($A34))))</f>
        <v>60.0000005038332</v>
      </c>
      <c r="AC34" s="195" t="n">
        <f aca="false">IF(OR((AC$13)="",($A34)=""),"- -",DEGREES( ACOS( COS(AC$13)  *  COS($A34))))</f>
        <v>60</v>
      </c>
      <c r="AD34" s="195" t="n">
        <f aca="false">IF(OR((AD$13)="",($A34)=""),"- -",DEGREES( ACOS( COS(AD$13)  *  COS($A34))))</f>
        <v>60</v>
      </c>
      <c r="AE34" s="1"/>
      <c r="AF34" s="196" t="str">
        <f aca="false">IF(OR((AF$13)="",($A34)=""),"- -",DEGREES( ACOS( COS(AF$13)  *  COS($A34))))</f>
        <v>- -</v>
      </c>
      <c r="AG34" s="1"/>
      <c r="AH34" s="1"/>
      <c r="AI34" s="1"/>
      <c r="AJ34" s="1"/>
      <c r="AK34" s="1"/>
      <c r="AL34" s="1"/>
    </row>
    <row r="35" customFormat="false" ht="12.75" hidden="false" customHeight="true" outlineLevel="0" collapsed="false">
      <c r="A35" s="193" t="n">
        <f aca="false">RADIANS(MOD(B35-180,-360)+180)</f>
        <v>-0.785398163397448</v>
      </c>
      <c r="B35" s="182" t="n">
        <v>315</v>
      </c>
      <c r="C35" s="1"/>
      <c r="D35" s="194" t="n">
        <f aca="false">IF(OR((D$13)="",($A35)=""),"- -",DEGREES( ACOS( COS(D$13)  *  COS($A35))))</f>
        <v>45.0000000087267</v>
      </c>
      <c r="E35" s="197" t="n">
        <f aca="false">IF(OR((E$13)="",($A35)=""),"- -",DEGREES( ACOS( COS(E$13)  *  COS($A35))))</f>
        <v>46.9204828581291</v>
      </c>
      <c r="F35" s="197" t="n">
        <f aca="false">IF(OR((F$13)="",($A35)=""),"- -",DEGREES( ACOS( COS(F$13)  *  COS($A35))))</f>
        <v>52.238756092965</v>
      </c>
      <c r="G35" s="197" t="n">
        <f aca="false">IF(OR((G$13)="",($A35)=""),"- -",DEGREES( ACOS( COS(G$13)  *  COS($A35))))</f>
        <v>60</v>
      </c>
      <c r="H35" s="197" t="n">
        <f aca="false">IF(OR((H$13)="",($A35)=""),"- -",DEGREES( ACOS( COS(H$13)  *  COS($A35))))</f>
        <v>69.2951889453646</v>
      </c>
      <c r="I35" s="197" t="n">
        <f aca="false">IF(OR((I$13)="",($A35)=""),"- -",DEGREES( ACOS( COS(I$13)  *  COS($A35))))</f>
        <v>79.4547094105004</v>
      </c>
      <c r="J35" s="194" t="n">
        <f aca="false">IF(OR((J$13)="",($A35)=""),"- -",DEGREES( ACOS( COS(J$13)  *  COS($A35))))</f>
        <v>90</v>
      </c>
      <c r="K35" s="197" t="n">
        <f aca="false">IF(OR((K$13)="",($A35)=""),"- -",DEGREES( ACOS( COS(K$13)  *  COS($A35))))</f>
        <v>100.5452905895</v>
      </c>
      <c r="L35" s="197" t="n">
        <f aca="false">IF(OR((L$13)="",($A35)=""),"- -",DEGREES( ACOS( COS(L$13)  *  COS($A35))))</f>
        <v>110.704811054635</v>
      </c>
      <c r="M35" s="197" t="n">
        <f aca="false">IF(OR((M$13)="",($A35)=""),"- -",DEGREES( ACOS( COS(M$13)  *  COS($A35))))</f>
        <v>120</v>
      </c>
      <c r="N35" s="197" t="n">
        <f aca="false">IF(OR((N$13)="",($A35)=""),"- -",DEGREES( ACOS( COS(N$13)  *  COS($A35))))</f>
        <v>127.761243907035</v>
      </c>
      <c r="O35" s="197" t="n">
        <f aca="false">IF(OR((O$13)="",($A35)=""),"- -",DEGREES( ACOS( COS(O$13)  *  COS($A35))))</f>
        <v>133.079517141871</v>
      </c>
      <c r="P35" s="194" t="n">
        <f aca="false">IF(OR((P$13)="",($A35)=""),"- -",DEGREES( ACOS( COS(P$13)  *  COS($A35))))</f>
        <v>135</v>
      </c>
      <c r="Q35" s="197" t="n">
        <f aca="false">IF(OR((Q$13)="",($A35)=""),"- -",DEGREES( ACOS( COS(Q$13)  *  COS($A35))))</f>
        <v>133.079517141871</v>
      </c>
      <c r="R35" s="197" t="n">
        <f aca="false">IF(OR((R$13)="",($A35)=""),"- -",DEGREES( ACOS( COS(R$13)  *  COS($A35))))</f>
        <v>127.761243907035</v>
      </c>
      <c r="S35" s="197" t="n">
        <f aca="false">IF(OR((S$13)="",($A35)=""),"- -",DEGREES( ACOS( COS(S$13)  *  COS($A35))))</f>
        <v>120</v>
      </c>
      <c r="T35" s="197" t="n">
        <f aca="false">IF(OR((T$13)="",($A35)=""),"- -",DEGREES( ACOS( COS(T$13)  *  COS($A35))))</f>
        <v>110.704811054635</v>
      </c>
      <c r="U35" s="197" t="n">
        <f aca="false">IF(OR((U$13)="",($A35)=""),"- -",DEGREES( ACOS( COS(U$13)  *  COS($A35))))</f>
        <v>100.5452905895</v>
      </c>
      <c r="V35" s="194" t="n">
        <f aca="false">IF(OR((V$13)="",($A35)=""),"- -",DEGREES( ACOS( COS(V$13)  *  COS($A35))))</f>
        <v>90</v>
      </c>
      <c r="W35" s="197" t="n">
        <f aca="false">IF(OR((W$13)="",($A35)=""),"- -",DEGREES( ACOS( COS(W$13)  *  COS($A35))))</f>
        <v>79.4547094105004</v>
      </c>
      <c r="X35" s="197" t="n">
        <f aca="false">IF(OR((X$13)="",($A35)=""),"- -",DEGREES( ACOS( COS(X$13)  *  COS($A35))))</f>
        <v>69.2951889453646</v>
      </c>
      <c r="Y35" s="197" t="n">
        <f aca="false">IF(OR((Y$13)="",($A35)=""),"- -",DEGREES( ACOS( COS(Y$13)  *  COS($A35))))</f>
        <v>60</v>
      </c>
      <c r="Z35" s="197" t="n">
        <f aca="false">IF(OR((Z$13)="",($A35)=""),"- -",DEGREES( ACOS( COS(Z$13)  *  COS($A35))))</f>
        <v>52.238756092965</v>
      </c>
      <c r="AA35" s="197" t="n">
        <f aca="false">IF(OR((AA$13)="",($A35)=""),"- -",DEGREES( ACOS( COS(AA$13)  *  COS($A35))))</f>
        <v>46.9204828581291</v>
      </c>
      <c r="AB35" s="194" t="n">
        <f aca="false">IF(OR((AB$13)="",($A35)=""),"- -",DEGREES( ACOS( COS(AB$13)  *  COS($A35))))</f>
        <v>45.0000008726646</v>
      </c>
      <c r="AC35" s="195" t="n">
        <f aca="false">IF(OR((AC$13)="",($A35)=""),"- -",DEGREES( ACOS( COS(AC$13)  *  COS($A35))))</f>
        <v>45</v>
      </c>
      <c r="AD35" s="195" t="n">
        <f aca="false">IF(OR((AD$13)="",($A35)=""),"- -",DEGREES( ACOS( COS(AD$13)  *  COS($A35))))</f>
        <v>45</v>
      </c>
      <c r="AE35" s="1"/>
      <c r="AF35" s="196" t="str">
        <f aca="false">IF(OR((AF$13)="",($A35)=""),"- -",DEGREES( ACOS( COS(AF$13)  *  COS($A35))))</f>
        <v>- -</v>
      </c>
      <c r="AG35" s="1"/>
      <c r="AH35" s="1"/>
      <c r="AI35" s="1"/>
      <c r="AJ35" s="1"/>
      <c r="AK35" s="1"/>
      <c r="AL35" s="1"/>
    </row>
    <row r="36" customFormat="false" ht="12.75" hidden="false" customHeight="true" outlineLevel="0" collapsed="false">
      <c r="A36" s="193" t="n">
        <f aca="false">RADIANS(MOD(B36-180,-360)+180)</f>
        <v>-0.523598775598299</v>
      </c>
      <c r="B36" s="182" t="n">
        <v>330</v>
      </c>
      <c r="C36" s="1"/>
      <c r="D36" s="194" t="n">
        <f aca="false">IF(OR((D$13)="",($A36)=""),"- -",DEGREES( ACOS( COS(D$13)  *  COS($A36))))</f>
        <v>30.000000015115</v>
      </c>
      <c r="E36" s="197" t="n">
        <f aca="false">IF(OR((E$13)="",($A36)=""),"- -",DEGREES( ACOS( COS(E$13)  *  COS($A36))))</f>
        <v>33.2259422032876</v>
      </c>
      <c r="F36" s="197" t="n">
        <f aca="false">IF(OR((F$13)="",($A36)=""),"- -",DEGREES( ACOS( COS(F$13)  *  COS($A36))))</f>
        <v>41.4096221092709</v>
      </c>
      <c r="G36" s="197" t="n">
        <f aca="false">IF(OR((G$13)="",($A36)=""),"- -",DEGREES( ACOS( COS(G$13)  *  COS($A36))))</f>
        <v>52.238756092965</v>
      </c>
      <c r="H36" s="197" t="n">
        <f aca="false">IF(OR((H$13)="",($A36)=""),"- -",DEGREES( ACOS( COS(H$13)  *  COS($A36))))</f>
        <v>64.3410937267447</v>
      </c>
      <c r="I36" s="197" t="n">
        <f aca="false">IF(OR((I$13)="",($A36)=""),"- -",DEGREES( ACOS( COS(I$13)  *  COS($A36))))</f>
        <v>77.0474603577776</v>
      </c>
      <c r="J36" s="194" t="n">
        <f aca="false">IF(OR((J$13)="",($A36)=""),"- -",DEGREES( ACOS( COS(J$13)  *  COS($A36))))</f>
        <v>90</v>
      </c>
      <c r="K36" s="197" t="n">
        <f aca="false">IF(OR((K$13)="",($A36)=""),"- -",DEGREES( ACOS( COS(K$13)  *  COS($A36))))</f>
        <v>102.952539642222</v>
      </c>
      <c r="L36" s="197" t="n">
        <f aca="false">IF(OR((L$13)="",($A36)=""),"- -",DEGREES( ACOS( COS(L$13)  *  COS($A36))))</f>
        <v>115.658906273255</v>
      </c>
      <c r="M36" s="197" t="n">
        <f aca="false">IF(OR((M$13)="",($A36)=""),"- -",DEGREES( ACOS( COS(M$13)  *  COS($A36))))</f>
        <v>127.761243907035</v>
      </c>
      <c r="N36" s="197" t="n">
        <f aca="false">IF(OR((N$13)="",($A36)=""),"- -",DEGREES( ACOS( COS(N$13)  *  COS($A36))))</f>
        <v>138.590377890729</v>
      </c>
      <c r="O36" s="197" t="n">
        <f aca="false">IF(OR((O$13)="",($A36)=""),"- -",DEGREES( ACOS( COS(O$13)  *  COS($A36))))</f>
        <v>146.774057796712</v>
      </c>
      <c r="P36" s="194" t="n">
        <f aca="false">IF(OR((P$13)="",($A36)=""),"- -",DEGREES( ACOS( COS(P$13)  *  COS($A36))))</f>
        <v>150</v>
      </c>
      <c r="Q36" s="197" t="n">
        <f aca="false">IF(OR((Q$13)="",($A36)=""),"- -",DEGREES( ACOS( COS(Q$13)  *  COS($A36))))</f>
        <v>146.774057796712</v>
      </c>
      <c r="R36" s="197" t="n">
        <f aca="false">IF(OR((R$13)="",($A36)=""),"- -",DEGREES( ACOS( COS(R$13)  *  COS($A36))))</f>
        <v>138.590377890729</v>
      </c>
      <c r="S36" s="197" t="n">
        <f aca="false">IF(OR((S$13)="",($A36)=""),"- -",DEGREES( ACOS( COS(S$13)  *  COS($A36))))</f>
        <v>127.761243907035</v>
      </c>
      <c r="T36" s="197" t="n">
        <f aca="false">IF(OR((T$13)="",($A36)=""),"- -",DEGREES( ACOS( COS(T$13)  *  COS($A36))))</f>
        <v>115.658906273255</v>
      </c>
      <c r="U36" s="197" t="n">
        <f aca="false">IF(OR((U$13)="",($A36)=""),"- -",DEGREES( ACOS( COS(U$13)  *  COS($A36))))</f>
        <v>102.952539642222</v>
      </c>
      <c r="V36" s="194" t="n">
        <f aca="false">IF(OR((V$13)="",($A36)=""),"- -",DEGREES( ACOS( COS(V$13)  *  COS($A36))))</f>
        <v>90</v>
      </c>
      <c r="W36" s="197" t="n">
        <f aca="false">IF(OR((W$13)="",($A36)=""),"- -",DEGREES( ACOS( COS(W$13)  *  COS($A36))))</f>
        <v>77.0474603577776</v>
      </c>
      <c r="X36" s="197" t="n">
        <f aca="false">IF(OR((X$13)="",($A36)=""),"- -",DEGREES( ACOS( COS(X$13)  *  COS($A36))))</f>
        <v>64.3410937267447</v>
      </c>
      <c r="Y36" s="197" t="n">
        <f aca="false">IF(OR((Y$13)="",($A36)=""),"- -",DEGREES( ACOS( COS(Y$13)  *  COS($A36))))</f>
        <v>52.238756092965</v>
      </c>
      <c r="Z36" s="197" t="n">
        <f aca="false">IF(OR((Z$13)="",($A36)=""),"- -",DEGREES( ACOS( COS(Z$13)  *  COS($A36))))</f>
        <v>41.4096221092709</v>
      </c>
      <c r="AA36" s="197" t="n">
        <f aca="false">IF(OR((AA$13)="",($A36)=""),"- -",DEGREES( ACOS( COS(AA$13)  *  COS($A36))))</f>
        <v>33.2259422032876</v>
      </c>
      <c r="AB36" s="194" t="n">
        <f aca="false">IF(OR((AB$13)="",($A36)=""),"- -",DEGREES( ACOS( COS(AB$13)  *  COS($A36))))</f>
        <v>30.0000015114994</v>
      </c>
      <c r="AC36" s="195" t="n">
        <f aca="false">IF(OR((AC$13)="",($A36)=""),"- -",DEGREES( ACOS( COS(AC$13)  *  COS($A36))))</f>
        <v>30</v>
      </c>
      <c r="AD36" s="195" t="n">
        <f aca="false">IF(OR((AD$13)="",($A36)=""),"- -",DEGREES( ACOS( COS(AD$13)  *  COS($A36))))</f>
        <v>30</v>
      </c>
      <c r="AE36" s="1"/>
      <c r="AF36" s="196" t="str">
        <f aca="false">IF(OR((AF$13)="",($A36)=""),"- -",DEGREES( ACOS( COS(AF$13)  *  COS($A36))))</f>
        <v>- -</v>
      </c>
      <c r="AG36" s="1"/>
      <c r="AH36" s="1"/>
      <c r="AI36" s="1"/>
      <c r="AJ36" s="1"/>
      <c r="AK36" s="1"/>
      <c r="AL36" s="1"/>
    </row>
    <row r="37" customFormat="false" ht="12.75" hidden="false" customHeight="true" outlineLevel="0" collapsed="false">
      <c r="A37" s="193" t="n">
        <f aca="false">RADIANS(MOD(B37-180,-360)+180)</f>
        <v>-0.261799387799149</v>
      </c>
      <c r="B37" s="182" t="n">
        <v>345</v>
      </c>
      <c r="C37" s="1"/>
      <c r="D37" s="194" t="n">
        <f aca="false">IF(OR((D$13)="",($A37)=""),"- -",DEGREES( ACOS( COS(D$13)  *  COS($A37))))</f>
        <v>15.0000000325683</v>
      </c>
      <c r="E37" s="197" t="n">
        <f aca="false">IF(OR((E$13)="",($A37)=""),"- -",DEGREES( ACOS( COS(E$13)  *  COS($A37))))</f>
        <v>21.0905811789991</v>
      </c>
      <c r="F37" s="197" t="n">
        <f aca="false">IF(OR((F$13)="",($A37)=""),"- -",DEGREES( ACOS( COS(F$13)  *  COS($A37))))</f>
        <v>33.2259422032876</v>
      </c>
      <c r="G37" s="197" t="n">
        <f aca="false">IF(OR((G$13)="",($A37)=""),"- -",DEGREES( ACOS( COS(G$13)  *  COS($A37))))</f>
        <v>46.9204828581291</v>
      </c>
      <c r="H37" s="197" t="n">
        <f aca="false">IF(OR((H$13)="",($A37)=""),"- -",DEGREES( ACOS( COS(H$13)  *  COS($A37))))</f>
        <v>61.1209059825724</v>
      </c>
      <c r="I37" s="197" t="n">
        <f aca="false">IF(OR((I$13)="",($A37)=""),"- -",DEGREES( ACOS( COS(I$13)  *  COS($A37))))</f>
        <v>75.5224878140701</v>
      </c>
      <c r="J37" s="194" t="n">
        <f aca="false">IF(OR((J$13)="",($A37)=""),"- -",DEGREES( ACOS( COS(J$13)  *  COS($A37))))</f>
        <v>90</v>
      </c>
      <c r="K37" s="197" t="n">
        <f aca="false">IF(OR((K$13)="",($A37)=""),"- -",DEGREES( ACOS( COS(K$13)  *  COS($A37))))</f>
        <v>104.47751218593</v>
      </c>
      <c r="L37" s="197" t="n">
        <f aca="false">IF(OR((L$13)="",($A37)=""),"- -",DEGREES( ACOS( COS(L$13)  *  COS($A37))))</f>
        <v>118.879094017428</v>
      </c>
      <c r="M37" s="197" t="n">
        <f aca="false">IF(OR((M$13)="",($A37)=""),"- -",DEGREES( ACOS( COS(M$13)  *  COS($A37))))</f>
        <v>133.079517141871</v>
      </c>
      <c r="N37" s="197" t="n">
        <f aca="false">IF(OR((N$13)="",($A37)=""),"- -",DEGREES( ACOS( COS(N$13)  *  COS($A37))))</f>
        <v>146.774057796712</v>
      </c>
      <c r="O37" s="197" t="n">
        <f aca="false">IF(OR((O$13)="",($A37)=""),"- -",DEGREES( ACOS( COS(O$13)  *  COS($A37))))</f>
        <v>158.909418821001</v>
      </c>
      <c r="P37" s="194" t="n">
        <f aca="false">IF(OR((P$13)="",($A37)=""),"- -",DEGREES( ACOS( COS(P$13)  *  COS($A37))))</f>
        <v>165</v>
      </c>
      <c r="Q37" s="197" t="n">
        <f aca="false">IF(OR((Q$13)="",($A37)=""),"- -",DEGREES( ACOS( COS(Q$13)  *  COS($A37))))</f>
        <v>158.909418821001</v>
      </c>
      <c r="R37" s="197" t="n">
        <f aca="false">IF(OR((R$13)="",($A37)=""),"- -",DEGREES( ACOS( COS(R$13)  *  COS($A37))))</f>
        <v>146.774057796712</v>
      </c>
      <c r="S37" s="197" t="n">
        <f aca="false">IF(OR((S$13)="",($A37)=""),"- -",DEGREES( ACOS( COS(S$13)  *  COS($A37))))</f>
        <v>133.079517141871</v>
      </c>
      <c r="T37" s="197" t="n">
        <f aca="false">IF(OR((T$13)="",($A37)=""),"- -",DEGREES( ACOS( COS(T$13)  *  COS($A37))))</f>
        <v>118.879094017428</v>
      </c>
      <c r="U37" s="197" t="n">
        <f aca="false">IF(OR((U$13)="",($A37)=""),"- -",DEGREES( ACOS( COS(U$13)  *  COS($A37))))</f>
        <v>104.47751218593</v>
      </c>
      <c r="V37" s="194" t="n">
        <f aca="false">IF(OR((V$13)="",($A37)=""),"- -",DEGREES( ACOS( COS(V$13)  *  COS($A37))))</f>
        <v>90</v>
      </c>
      <c r="W37" s="197" t="n">
        <f aca="false">IF(OR((W$13)="",($A37)=""),"- -",DEGREES( ACOS( COS(W$13)  *  COS($A37))))</f>
        <v>75.5224878140701</v>
      </c>
      <c r="X37" s="197" t="n">
        <f aca="false">IF(OR((X$13)="",($A37)=""),"- -",DEGREES( ACOS( COS(X$13)  *  COS($A37))))</f>
        <v>61.1209059825724</v>
      </c>
      <c r="Y37" s="197" t="n">
        <f aca="false">IF(OR((Y$13)="",($A37)=""),"- -",DEGREES( ACOS( COS(Y$13)  *  COS($A37))))</f>
        <v>46.9204828581291</v>
      </c>
      <c r="Z37" s="197" t="n">
        <f aca="false">IF(OR((Z$13)="",($A37)=""),"- -",DEGREES( ACOS( COS(Z$13)  *  COS($A37))))</f>
        <v>33.2259422032876</v>
      </c>
      <c r="AA37" s="197" t="n">
        <f aca="false">IF(OR((AA$13)="",($A37)=""),"- -",DEGREES( ACOS( COS(AA$13)  *  COS($A37))))</f>
        <v>21.0905811789991</v>
      </c>
      <c r="AB37" s="194" t="n">
        <f aca="false">IF(OR((AB$13)="",($A37)=""),"- -",DEGREES( ACOS( COS(AB$13)  *  COS($A37))))</f>
        <v>15.0000032568284</v>
      </c>
      <c r="AC37" s="195" t="n">
        <f aca="false">IF(OR((AC$13)="",($A37)=""),"- -",DEGREES( ACOS( COS(AC$13)  *  COS($A37))))</f>
        <v>15</v>
      </c>
      <c r="AD37" s="195" t="n">
        <f aca="false">IF(OR((AD$13)="",($A37)=""),"- -",DEGREES( ACOS( COS(AD$13)  *  COS($A37))))</f>
        <v>15</v>
      </c>
      <c r="AE37" s="1"/>
      <c r="AF37" s="196" t="str">
        <f aca="false">IF(OR((AF$13)="",($A37)=""),"- -",DEGREES( ACOS( COS(AF$13)  *  COS($A37))))</f>
        <v>- -</v>
      </c>
      <c r="AG37" s="1"/>
      <c r="AH37" s="1"/>
      <c r="AI37" s="1"/>
      <c r="AJ37" s="1"/>
      <c r="AK37" s="1"/>
      <c r="AL37" s="1"/>
    </row>
    <row r="38" customFormat="false" ht="12.75" hidden="false" customHeight="true" outlineLevel="0" collapsed="false">
      <c r="A38" s="193" t="n">
        <f aca="false">RADIANS(MOD(B38-180,-360)+180)</f>
        <v>-0.000174532925199274</v>
      </c>
      <c r="B38" s="198" t="n">
        <v>359.99</v>
      </c>
      <c r="C38" s="1"/>
      <c r="D38" s="194" t="n">
        <f aca="false">IF(OR((D$13)="",($A38)=""),"- -",DEGREES( ACOS( COS(D$13)  *  COS($A38))))</f>
        <v>0.0100498756078044</v>
      </c>
      <c r="E38" s="194" t="n">
        <f aca="false">IF(OR((E$13)="",($A38)=""),"- -",DEGREES( ACOS( COS(E$13)  *  COS($A38))))</f>
        <v>15.0000032568284</v>
      </c>
      <c r="F38" s="194" t="n">
        <f aca="false">IF(OR((F$13)="",($A38)=""),"- -",DEGREES( ACOS( COS(F$13)  *  COS($A38))))</f>
        <v>30.0000015114994</v>
      </c>
      <c r="G38" s="194" t="n">
        <f aca="false">IF(OR((G$13)="",($A38)=""),"- -",DEGREES( ACOS( COS(G$13)  *  COS($A38))))</f>
        <v>45.0000008726646</v>
      </c>
      <c r="H38" s="194" t="n">
        <f aca="false">IF(OR((H$13)="",($A38)=""),"- -",DEGREES( ACOS( COS(H$13)  *  COS($A38))))</f>
        <v>60.0000005038332</v>
      </c>
      <c r="I38" s="194" t="n">
        <f aca="false">IF(OR((I$13)="",($A38)=""),"- -",DEGREES( ACOS( COS(I$13)  *  COS($A38))))</f>
        <v>75.0000002338298</v>
      </c>
      <c r="J38" s="194" t="n">
        <f aca="false">IF(OR((J$13)="",($A38)=""),"- -",DEGREES( ACOS( COS(J$13)  *  COS($A38))))</f>
        <v>90</v>
      </c>
      <c r="K38" s="194" t="n">
        <f aca="false">IF(OR((K$13)="",($A38)=""),"- -",DEGREES( ACOS( COS(K$13)  *  COS($A38))))</f>
        <v>104.99999976617</v>
      </c>
      <c r="L38" s="194" t="n">
        <f aca="false">IF(OR((L$13)="",($A38)=""),"- -",DEGREES( ACOS( COS(L$13)  *  COS($A38))))</f>
        <v>119.999999496167</v>
      </c>
      <c r="M38" s="194" t="n">
        <f aca="false">IF(OR((M$13)="",($A38)=""),"- -",DEGREES( ACOS( COS(M$13)  *  COS($A38))))</f>
        <v>134.999999127335</v>
      </c>
      <c r="N38" s="194" t="n">
        <f aca="false">IF(OR((N$13)="",($A38)=""),"- -",DEGREES( ACOS( COS(N$13)  *  COS($A38))))</f>
        <v>149.999998488501</v>
      </c>
      <c r="O38" s="194" t="n">
        <f aca="false">IF(OR((O$13)="",($A38)=""),"- -",DEGREES( ACOS( COS(O$13)  *  COS($A38))))</f>
        <v>164.999996743172</v>
      </c>
      <c r="P38" s="194" t="n">
        <f aca="false">IF(OR((P$13)="",($A38)=""),"- -",DEGREES( ACOS( COS(P$13)  *  COS($A38))))</f>
        <v>179.990000000017</v>
      </c>
      <c r="Q38" s="194" t="n">
        <f aca="false">IF(OR((Q$13)="",($A38)=""),"- -",DEGREES( ACOS( COS(Q$13)  *  COS($A38))))</f>
        <v>164.999996743172</v>
      </c>
      <c r="R38" s="194" t="n">
        <f aca="false">IF(OR((R$13)="",($A38)=""),"- -",DEGREES( ACOS( COS(R$13)  *  COS($A38))))</f>
        <v>149.999998488501</v>
      </c>
      <c r="S38" s="194" t="n">
        <f aca="false">IF(OR((S$13)="",($A38)=""),"- -",DEGREES( ACOS( COS(S$13)  *  COS($A38))))</f>
        <v>134.999999127335</v>
      </c>
      <c r="T38" s="194" t="n">
        <f aca="false">IF(OR((T$13)="",($A38)=""),"- -",DEGREES( ACOS( COS(T$13)  *  COS($A38))))</f>
        <v>119.999999496167</v>
      </c>
      <c r="U38" s="194" t="n">
        <f aca="false">IF(OR((U$13)="",($A38)=""),"- -",DEGREES( ACOS( COS(U$13)  *  COS($A38))))</f>
        <v>104.99999976617</v>
      </c>
      <c r="V38" s="194" t="n">
        <f aca="false">IF(OR((V$13)="",($A38)=""),"- -",DEGREES( ACOS( COS(V$13)  *  COS($A38))))</f>
        <v>90</v>
      </c>
      <c r="W38" s="194" t="n">
        <f aca="false">IF(OR((W$13)="",($A38)=""),"- -",DEGREES( ACOS( COS(W$13)  *  COS($A38))))</f>
        <v>75.0000002338298</v>
      </c>
      <c r="X38" s="194" t="n">
        <f aca="false">IF(OR((X$13)="",($A38)=""),"- -",DEGREES( ACOS( COS(X$13)  *  COS($A38))))</f>
        <v>60.0000005038332</v>
      </c>
      <c r="Y38" s="194" t="n">
        <f aca="false">IF(OR((Y$13)="",($A38)=""),"- -",DEGREES( ACOS( COS(Y$13)  *  COS($A38))))</f>
        <v>45.0000008726646</v>
      </c>
      <c r="Z38" s="194" t="n">
        <f aca="false">IF(OR((Z$13)="",($A38)=""),"- -",DEGREES( ACOS( COS(Z$13)  *  COS($A38))))</f>
        <v>30.0000015114994</v>
      </c>
      <c r="AA38" s="194" t="n">
        <f aca="false">IF(OR((AA$13)="",($A38)=""),"- -",DEGREES( ACOS( COS(AA$13)  *  COS($A38))))</f>
        <v>15.0000032568284</v>
      </c>
      <c r="AB38" s="194" t="n">
        <f aca="false">IF(OR((AB$13)="",($A38)=""),"- -",DEGREES( ACOS( COS(AB$13)  *  COS($A38))))</f>
        <v>0.0141421355656056</v>
      </c>
      <c r="AC38" s="195" t="n">
        <f aca="false">IF(OR((AC$13)="",($A38)=""),"- -",DEGREES( ACOS( COS(AC$13)  *  COS($A38))))</f>
        <v>0.00999999998265327</v>
      </c>
      <c r="AD38" s="195" t="n">
        <f aca="false">IF(OR((AD$13)="",($A38)=""),"- -",DEGREES( ACOS( COS(AD$13)  *  COS($A38))))</f>
        <v>0.00999999998265327</v>
      </c>
      <c r="AE38" s="1"/>
      <c r="AF38" s="196" t="str">
        <f aca="false">IF(OR((AF$13)="",($A38)=""),"- -",DEGREES( ACOS( COS(AF$13)  *  COS($A38))))</f>
        <v>- -</v>
      </c>
      <c r="AG38" s="1"/>
      <c r="AH38" s="1"/>
      <c r="AI38" s="1"/>
      <c r="AJ38" s="1"/>
      <c r="AK38" s="1"/>
      <c r="AL38" s="1"/>
    </row>
    <row r="39" customFormat="false" ht="12.75" hidden="false" customHeight="true" outlineLevel="0" collapsed="false">
      <c r="A39" s="192" t="n">
        <f aca="false">RADIANS(MOD(B39-180,-360)+180)</f>
        <v>0</v>
      </c>
      <c r="B39" s="184" t="n">
        <v>360</v>
      </c>
      <c r="C39" s="1"/>
      <c r="D39" s="195" t="n">
        <f aca="false">IF(OR((D$13)="",($A39)=""),"- -",DEGREES( ACOS( COS(D$13)  *  COS($A39))))</f>
        <v>0.0010000000370999</v>
      </c>
      <c r="E39" s="195" t="n">
        <f aca="false">IF(OR((E$13)="",($A39)=""),"- -",DEGREES( ACOS( COS(E$13)  *  COS($A39))))</f>
        <v>15</v>
      </c>
      <c r="F39" s="195" t="n">
        <f aca="false">IF(OR((F$13)="",($A39)=""),"- -",DEGREES( ACOS( COS(F$13)  *  COS($A39))))</f>
        <v>30</v>
      </c>
      <c r="G39" s="195" t="n">
        <f aca="false">IF(OR((G$13)="",($A39)=""),"- -",DEGREES( ACOS( COS(G$13)  *  COS($A39))))</f>
        <v>45</v>
      </c>
      <c r="H39" s="195" t="n">
        <f aca="false">IF(OR((H$13)="",($A39)=""),"- -",DEGREES( ACOS( COS(H$13)  *  COS($A39))))</f>
        <v>60</v>
      </c>
      <c r="I39" s="195" t="n">
        <f aca="false">IF(OR((I$13)="",($A39)=""),"- -",DEGREES( ACOS( COS(I$13)  *  COS($A39))))</f>
        <v>75</v>
      </c>
      <c r="J39" s="195" t="n">
        <f aca="false">IF(OR((J$13)="",($A39)=""),"- -",DEGREES( ACOS( COS(J$13)  *  COS($A39))))</f>
        <v>90</v>
      </c>
      <c r="K39" s="195" t="n">
        <f aca="false">IF(OR((K$13)="",($A39)=""),"- -",DEGREES( ACOS( COS(K$13)  *  COS($A39))))</f>
        <v>105</v>
      </c>
      <c r="L39" s="195" t="n">
        <f aca="false">IF(OR((L$13)="",($A39)=""),"- -",DEGREES( ACOS( COS(L$13)  *  COS($A39))))</f>
        <v>120</v>
      </c>
      <c r="M39" s="195" t="n">
        <f aca="false">IF(OR((M$13)="",($A39)=""),"- -",DEGREES( ACOS( COS(M$13)  *  COS($A39))))</f>
        <v>135</v>
      </c>
      <c r="N39" s="195" t="n">
        <f aca="false">IF(OR((N$13)="",($A39)=""),"- -",DEGREES( ACOS( COS(N$13)  *  COS($A39))))</f>
        <v>150</v>
      </c>
      <c r="O39" s="195" t="n">
        <f aca="false">IF(OR((O$13)="",($A39)=""),"- -",DEGREES( ACOS( COS(O$13)  *  COS($A39))))</f>
        <v>165</v>
      </c>
      <c r="P39" s="195" t="n">
        <f aca="false">IF(OR((P$13)="",($A39)=""),"- -",DEGREES( ACOS( COS(P$13)  *  COS($A39))))</f>
        <v>180</v>
      </c>
      <c r="Q39" s="195" t="n">
        <f aca="false">IF(OR((Q$13)="",($A39)=""),"- -",DEGREES( ACOS( COS(Q$13)  *  COS($A39))))</f>
        <v>165</v>
      </c>
      <c r="R39" s="195" t="n">
        <f aca="false">IF(OR((R$13)="",($A39)=""),"- -",DEGREES( ACOS( COS(R$13)  *  COS($A39))))</f>
        <v>150</v>
      </c>
      <c r="S39" s="195" t="n">
        <f aca="false">IF(OR((S$13)="",($A39)=""),"- -",DEGREES( ACOS( COS(S$13)  *  COS($A39))))</f>
        <v>135</v>
      </c>
      <c r="T39" s="195" t="n">
        <f aca="false">IF(OR((T$13)="",($A39)=""),"- -",DEGREES( ACOS( COS(T$13)  *  COS($A39))))</f>
        <v>120</v>
      </c>
      <c r="U39" s="195" t="n">
        <f aca="false">IF(OR((U$13)="",($A39)=""),"- -",DEGREES( ACOS( COS(U$13)  *  COS($A39))))</f>
        <v>105</v>
      </c>
      <c r="V39" s="195" t="n">
        <f aca="false">IF(OR((V$13)="",($A39)=""),"- -",DEGREES( ACOS( COS(V$13)  *  COS($A39))))</f>
        <v>90</v>
      </c>
      <c r="W39" s="195" t="n">
        <f aca="false">IF(OR((W$13)="",($A39)=""),"- -",DEGREES( ACOS( COS(W$13)  *  COS($A39))))</f>
        <v>75</v>
      </c>
      <c r="X39" s="195" t="n">
        <f aca="false">IF(OR((X$13)="",($A39)=""),"- -",DEGREES( ACOS( COS(X$13)  *  COS($A39))))</f>
        <v>60</v>
      </c>
      <c r="Y39" s="195" t="n">
        <f aca="false">IF(OR((Y$13)="",($A39)=""),"- -",DEGREES( ACOS( COS(Y$13)  *  COS($A39))))</f>
        <v>45</v>
      </c>
      <c r="Z39" s="195" t="n">
        <f aca="false">IF(OR((Z$13)="",($A39)=""),"- -",DEGREES( ACOS( COS(Z$13)  *  COS($A39))))</f>
        <v>30</v>
      </c>
      <c r="AA39" s="195" t="n">
        <f aca="false">IF(OR((AA$13)="",($A39)=""),"- -",DEGREES( ACOS( COS(AA$13)  *  COS($A39))))</f>
        <v>15</v>
      </c>
      <c r="AB39" s="195" t="n">
        <f aca="false">IF(OR((AB$13)="",($A39)=""),"- -",DEGREES( ACOS( COS(AB$13)  *  COS($A39))))</f>
        <v>0.00999999998265327</v>
      </c>
      <c r="AC39" s="195" t="n">
        <f aca="false">IF(OR((AC$13)="",($A39)=""),"- -",DEGREES( ACOS( COS(AC$13)  *  COS($A39))))</f>
        <v>0</v>
      </c>
      <c r="AD39" s="195" t="n">
        <f aca="false">IF(OR((AD$13)="",($A39)=""),"- -",DEGREES( ACOS( COS(AD$13)  *  COS($A39))))</f>
        <v>0</v>
      </c>
      <c r="AE39" s="1"/>
      <c r="AF39" s="196" t="str">
        <f aca="false">IF(OR((AF$13)="",($A39)=""),"- -",DEGREES( ACOS( COS(AF$13)  *  COS($A39))))</f>
        <v>- -</v>
      </c>
      <c r="AG39" s="1"/>
      <c r="AH39" s="1"/>
      <c r="AI39" s="1"/>
      <c r="AJ39" s="1"/>
      <c r="AK39" s="1"/>
      <c r="AL39" s="1"/>
    </row>
    <row r="40" customFormat="false" ht="12.75" hidden="false" customHeight="true" outlineLevel="0" collapsed="false">
      <c r="A40" s="192" t="n">
        <f aca="false">RADIANS(MOD(B40-180,-360)+180)</f>
        <v>0</v>
      </c>
      <c r="B40" s="184" t="n">
        <v>0</v>
      </c>
      <c r="C40" s="1"/>
      <c r="D40" s="195" t="n">
        <f aca="false">IF(OR((D$13)="",($A40)=""),"- -",DEGREES( ACOS( COS(D$13)  *  COS($A40))))</f>
        <v>0.0010000000370999</v>
      </c>
      <c r="E40" s="195" t="n">
        <f aca="false">IF(OR((E$13)="",($A40)=""),"- -",DEGREES( ACOS( COS(E$13)  *  COS($A40))))</f>
        <v>15</v>
      </c>
      <c r="F40" s="195" t="n">
        <f aca="false">IF(OR((F$13)="",($A40)=""),"- -",DEGREES( ACOS( COS(F$13)  *  COS($A40))))</f>
        <v>30</v>
      </c>
      <c r="G40" s="195" t="n">
        <f aca="false">IF(OR((G$13)="",($A40)=""),"- -",DEGREES( ACOS( COS(G$13)  *  COS($A40))))</f>
        <v>45</v>
      </c>
      <c r="H40" s="195" t="n">
        <f aca="false">IF(OR((H$13)="",($A40)=""),"- -",DEGREES( ACOS( COS(H$13)  *  COS($A40))))</f>
        <v>60</v>
      </c>
      <c r="I40" s="195" t="n">
        <f aca="false">IF(OR((I$13)="",($A40)=""),"- -",DEGREES( ACOS( COS(I$13)  *  COS($A40))))</f>
        <v>75</v>
      </c>
      <c r="J40" s="195" t="n">
        <f aca="false">IF(OR((J$13)="",($A40)=""),"- -",DEGREES( ACOS( COS(J$13)  *  COS($A40))))</f>
        <v>90</v>
      </c>
      <c r="K40" s="195" t="n">
        <f aca="false">IF(OR((K$13)="",($A40)=""),"- -",DEGREES( ACOS( COS(K$13)  *  COS($A40))))</f>
        <v>105</v>
      </c>
      <c r="L40" s="195" t="n">
        <f aca="false">IF(OR((L$13)="",($A40)=""),"- -",DEGREES( ACOS( COS(L$13)  *  COS($A40))))</f>
        <v>120</v>
      </c>
      <c r="M40" s="195" t="n">
        <f aca="false">IF(OR((M$13)="",($A40)=""),"- -",DEGREES( ACOS( COS(M$13)  *  COS($A40))))</f>
        <v>135</v>
      </c>
      <c r="N40" s="195" t="n">
        <f aca="false">IF(OR((N$13)="",($A40)=""),"- -",DEGREES( ACOS( COS(N$13)  *  COS($A40))))</f>
        <v>150</v>
      </c>
      <c r="O40" s="195" t="n">
        <f aca="false">IF(OR((O$13)="",($A40)=""),"- -",DEGREES( ACOS( COS(O$13)  *  COS($A40))))</f>
        <v>165</v>
      </c>
      <c r="P40" s="195" t="n">
        <f aca="false">IF(OR((P$13)="",($A40)=""),"- -",DEGREES( ACOS( COS(P$13)  *  COS($A40))))</f>
        <v>180</v>
      </c>
      <c r="Q40" s="195" t="n">
        <f aca="false">IF(OR((Q$13)="",($A40)=""),"- -",DEGREES( ACOS( COS(Q$13)  *  COS($A40))))</f>
        <v>165</v>
      </c>
      <c r="R40" s="195" t="n">
        <f aca="false">IF(OR((R$13)="",($A40)=""),"- -",DEGREES( ACOS( COS(R$13)  *  COS($A40))))</f>
        <v>150</v>
      </c>
      <c r="S40" s="195" t="n">
        <f aca="false">IF(OR((S$13)="",($A40)=""),"- -",DEGREES( ACOS( COS(S$13)  *  COS($A40))))</f>
        <v>135</v>
      </c>
      <c r="T40" s="195" t="n">
        <f aca="false">IF(OR((T$13)="",($A40)=""),"- -",DEGREES( ACOS( COS(T$13)  *  COS($A40))))</f>
        <v>120</v>
      </c>
      <c r="U40" s="195" t="n">
        <f aca="false">IF(OR((U$13)="",($A40)=""),"- -",DEGREES( ACOS( COS(U$13)  *  COS($A40))))</f>
        <v>105</v>
      </c>
      <c r="V40" s="195" t="n">
        <f aca="false">IF(OR((V$13)="",($A40)=""),"- -",DEGREES( ACOS( COS(V$13)  *  COS($A40))))</f>
        <v>90</v>
      </c>
      <c r="W40" s="195" t="n">
        <f aca="false">IF(OR((W$13)="",($A40)=""),"- -",DEGREES( ACOS( COS(W$13)  *  COS($A40))))</f>
        <v>75</v>
      </c>
      <c r="X40" s="195" t="n">
        <f aca="false">IF(OR((X$13)="",($A40)=""),"- -",DEGREES( ACOS( COS(X$13)  *  COS($A40))))</f>
        <v>60</v>
      </c>
      <c r="Y40" s="195" t="n">
        <f aca="false">IF(OR((Y$13)="",($A40)=""),"- -",DEGREES( ACOS( COS(Y$13)  *  COS($A40))))</f>
        <v>45</v>
      </c>
      <c r="Z40" s="195" t="n">
        <f aca="false">IF(OR((Z$13)="",($A40)=""),"- -",DEGREES( ACOS( COS(Z$13)  *  COS($A40))))</f>
        <v>30</v>
      </c>
      <c r="AA40" s="195" t="n">
        <f aca="false">IF(OR((AA$13)="",($A40)=""),"- -",DEGREES( ACOS( COS(AA$13)  *  COS($A40))))</f>
        <v>15</v>
      </c>
      <c r="AB40" s="195" t="n">
        <f aca="false">IF(OR((AB$13)="",($A40)=""),"- -",DEGREES( ACOS( COS(AB$13)  *  COS($A40))))</f>
        <v>0.00999999998265327</v>
      </c>
      <c r="AC40" s="195" t="n">
        <f aca="false">IF(OR((AC$13)="",($A40)=""),"- -",DEGREES( ACOS( COS(AC$13)  *  COS($A40))))</f>
        <v>0</v>
      </c>
      <c r="AD40" s="195" t="n">
        <f aca="false">IF(OR((AD$13)="",($A40)=""),"- -",DEGREES( ACOS( COS(AD$13)  *  COS($A40))))</f>
        <v>0</v>
      </c>
      <c r="AE40" s="1"/>
      <c r="AF40" s="196" t="str">
        <f aca="false">IF(OR((AF$13)="",($A40)=""),"- -",DEGREES( ACOS( COS(AF$13)  *  COS($A40))))</f>
        <v>- -</v>
      </c>
      <c r="AG40" s="1"/>
      <c r="AH40" s="1"/>
      <c r="AI40" s="1"/>
      <c r="AJ40" s="1"/>
      <c r="AK40" s="1"/>
      <c r="AL40" s="1"/>
    </row>
    <row r="41" customFormat="false" ht="12.7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customFormat="false" ht="12.7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customFormat="false" ht="12.75" hidden="false" customHeight="true" outlineLevel="0" collapsed="false">
      <c r="A43" s="163"/>
      <c r="B43" s="1"/>
      <c r="C43" s="163"/>
      <c r="D43" s="1"/>
      <c r="E43" s="1"/>
      <c r="F43" s="1"/>
      <c r="G43" s="1"/>
      <c r="H43" s="53"/>
      <c r="I43" s="5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customFormat="false" ht="12.75" hidden="false" customHeight="true" outlineLevel="0" collapsed="false">
      <c r="A44" s="163"/>
      <c r="B44" s="1"/>
      <c r="C44" s="163"/>
      <c r="D44" s="1"/>
      <c r="E44" s="1"/>
      <c r="F44" s="1"/>
      <c r="G44" s="1"/>
      <c r="H44" s="53"/>
      <c r="I44" s="5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customFormat="false" ht="12.75" hidden="false" customHeight="true" outlineLevel="0" collapsed="false">
      <c r="A45" s="163"/>
      <c r="B45" s="1"/>
      <c r="C45" s="163"/>
      <c r="D45" s="1"/>
      <c r="E45" s="1"/>
      <c r="F45" s="1"/>
      <c r="G45" s="1"/>
      <c r="H45" s="53"/>
      <c r="I45" s="5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customFormat="false" ht="12.75" hidden="false" customHeight="true" outlineLevel="0" collapsed="false">
      <c r="A46" s="163"/>
      <c r="B46" s="1"/>
      <c r="C46" s="163"/>
      <c r="D46" s="1"/>
      <c r="E46" s="1"/>
      <c r="F46" s="1"/>
      <c r="G46" s="1"/>
      <c r="H46" s="53"/>
      <c r="I46" s="5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customFormat="false" ht="12.75" hidden="false" customHeight="true" outlineLevel="0" collapsed="false">
      <c r="A47" s="163"/>
      <c r="B47" s="1"/>
      <c r="C47" s="163"/>
      <c r="D47" s="1"/>
      <c r="E47" s="1"/>
      <c r="F47" s="1"/>
      <c r="G47" s="1"/>
      <c r="H47" s="53"/>
      <c r="I47" s="5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customFormat="false" ht="12.75" hidden="false" customHeight="true" outlineLevel="0" collapsed="false">
      <c r="A48" s="163"/>
      <c r="B48" s="1"/>
      <c r="C48" s="163"/>
      <c r="D48" s="1"/>
      <c r="E48" s="1"/>
      <c r="F48" s="1"/>
      <c r="G48" s="1"/>
      <c r="H48" s="53"/>
      <c r="I48" s="5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customFormat="false" ht="12.75" hidden="false" customHeight="true" outlineLevel="0" collapsed="false">
      <c r="A49" s="163"/>
      <c r="B49" s="1"/>
      <c r="C49" s="163"/>
      <c r="D49" s="1"/>
      <c r="E49" s="1"/>
      <c r="F49" s="1"/>
      <c r="G49" s="1"/>
      <c r="H49" s="53"/>
      <c r="I49" s="5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customFormat="false" ht="12.75" hidden="false" customHeight="true" outlineLevel="0" collapsed="false">
      <c r="A50" s="163"/>
      <c r="B50" s="1"/>
      <c r="C50" s="163"/>
      <c r="D50" s="1"/>
      <c r="E50" s="1"/>
      <c r="F50" s="1"/>
      <c r="G50" s="1"/>
      <c r="H50" s="53"/>
      <c r="I50" s="5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customFormat="false" ht="12.75" hidden="false" customHeight="true" outlineLevel="0" collapsed="false">
      <c r="A51" s="163"/>
      <c r="B51" s="1"/>
      <c r="C51" s="163"/>
      <c r="D51" s="1"/>
      <c r="E51" s="1"/>
      <c r="F51" s="1"/>
      <c r="G51" s="1"/>
      <c r="H51" s="53"/>
      <c r="I51" s="5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customFormat="false" ht="12.75" hidden="false" customHeight="true" outlineLevel="0" collapsed="false">
      <c r="A52" s="72"/>
      <c r="B52" s="1"/>
      <c r="C52" s="1"/>
      <c r="D52" s="1"/>
      <c r="E52" s="1"/>
      <c r="F52" s="1"/>
      <c r="G52" s="1"/>
      <c r="H52" s="1"/>
      <c r="I52" s="53"/>
      <c r="J52" s="1"/>
      <c r="K52" s="1"/>
      <c r="L52" s="1"/>
      <c r="M52" s="1"/>
      <c r="N52" s="53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customFormat="false" ht="12.75" hidden="false" customHeight="true" outlineLevel="0" collapsed="false">
      <c r="A53" s="1"/>
      <c r="B53" s="1"/>
      <c r="C53" s="1"/>
      <c r="D53" s="1"/>
      <c r="E53" s="1"/>
      <c r="F53" s="1"/>
      <c r="G53" s="164"/>
      <c r="H53" s="36"/>
      <c r="I53" s="5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customFormat="false" ht="23.8" hidden="false" customHeight="true" outlineLevel="0" collapsed="false">
      <c r="A54" s="1"/>
      <c r="B54" s="165" t="s">
        <v>161</v>
      </c>
      <c r="C54" s="166" t="s">
        <v>174</v>
      </c>
      <c r="D54" s="167"/>
      <c r="E54" s="169"/>
      <c r="F54" s="113"/>
      <c r="G54" s="113"/>
      <c r="H54" s="113"/>
      <c r="I54" s="53"/>
      <c r="J54" s="199" t="s">
        <v>175</v>
      </c>
      <c r="K54" s="16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customFormat="false" ht="23.8" hidden="false" customHeight="true" outlineLevel="0" collapsed="false">
      <c r="A55" s="1"/>
      <c r="B55" s="1"/>
      <c r="C55" s="170"/>
      <c r="D55" s="170"/>
      <c r="E55" s="170"/>
      <c r="F55" s="171"/>
      <c r="G55" s="171"/>
      <c r="H55" s="171"/>
      <c r="I55" s="171"/>
      <c r="J55" s="171"/>
      <c r="K55" s="171"/>
      <c r="L55" s="170"/>
      <c r="M55" s="1"/>
      <c r="N55" s="1"/>
      <c r="O55" s="1"/>
      <c r="P55" s="1"/>
      <c r="Q55" s="1"/>
      <c r="R55" s="1"/>
      <c r="S55" s="1"/>
      <c r="T55" s="200" t="s">
        <v>176</v>
      </c>
      <c r="U55" s="1"/>
      <c r="V55" s="1"/>
      <c r="W55" s="1"/>
      <c r="X55" s="1"/>
      <c r="Y55" s="1"/>
      <c r="Z55" s="201" t="s">
        <v>177</v>
      </c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customFormat="false" ht="23.8" hidden="false" customHeight="true" outlineLevel="0" collapsed="false">
      <c r="A56" s="172" t="s">
        <v>163</v>
      </c>
      <c r="B56" s="1"/>
      <c r="C56" s="173"/>
      <c r="D56" s="170"/>
      <c r="E56" s="174" t="s">
        <v>164</v>
      </c>
      <c r="F56" s="171"/>
      <c r="G56" s="171"/>
      <c r="H56" s="175" t="s">
        <v>165</v>
      </c>
      <c r="I56" s="171"/>
      <c r="J56" s="171"/>
      <c r="K56" s="170"/>
      <c r="L56" s="170"/>
      <c r="M56" s="1"/>
      <c r="N56" s="1"/>
      <c r="O56" s="1"/>
      <c r="P56" s="1"/>
      <c r="Q56" s="1"/>
      <c r="R56" s="1"/>
      <c r="S56" s="1"/>
      <c r="T56" s="202" t="s">
        <v>178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customFormat="false" ht="23.8" hidden="false" customHeight="true" outlineLevel="0" collapsed="false">
      <c r="A57" s="172" t="s">
        <v>166</v>
      </c>
      <c r="B57" s="1"/>
      <c r="C57" s="173"/>
      <c r="D57" s="173"/>
      <c r="E57" s="170"/>
      <c r="F57" s="171"/>
      <c r="G57" s="176"/>
      <c r="H57" s="170"/>
      <c r="I57" s="170"/>
      <c r="J57" s="170"/>
      <c r="K57" s="170"/>
      <c r="L57" s="170"/>
      <c r="M57" s="1"/>
      <c r="N57" s="1"/>
      <c r="O57" s="1"/>
      <c r="P57" s="1"/>
      <c r="Q57" s="1"/>
      <c r="R57" s="1"/>
      <c r="S57" s="1"/>
      <c r="T57" s="203" t="s">
        <v>179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customFormat="false" ht="23.8" hidden="false" customHeight="true" outlineLevel="0" collapsed="false">
      <c r="A58" s="1"/>
      <c r="B58" s="1"/>
      <c r="C58" s="170"/>
      <c r="D58" s="173"/>
      <c r="E58" s="204" t="s">
        <v>180</v>
      </c>
      <c r="F58" s="204"/>
      <c r="G58" s="170"/>
      <c r="H58" s="170"/>
      <c r="I58" s="170"/>
      <c r="J58" s="170"/>
      <c r="K58" s="170"/>
      <c r="L58" s="170"/>
      <c r="M58" s="1"/>
      <c r="N58" s="179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customFormat="false" ht="23.8" hidden="false" customHeight="true" outlineLevel="0" collapsed="false">
      <c r="A59" s="1"/>
      <c r="B59" s="1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customFormat="false" ht="23.8" hidden="false" customHeight="true" outlineLevel="0" collapsed="false">
      <c r="A60" s="1"/>
      <c r="B60" s="1"/>
      <c r="C60" s="170"/>
      <c r="D60" s="173"/>
      <c r="E60" s="170"/>
      <c r="F60" s="170"/>
      <c r="G60" s="170"/>
      <c r="H60" s="170"/>
      <c r="I60" s="170"/>
      <c r="J60" s="170"/>
      <c r="K60" s="170"/>
      <c r="L60" s="170"/>
      <c r="M60" s="1"/>
      <c r="N60" s="18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customFormat="false" ht="19.3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84" t="n">
        <v>360</v>
      </c>
      <c r="AD61" s="185" t="s">
        <v>169</v>
      </c>
      <c r="AE61" s="1"/>
      <c r="AF61" s="1"/>
      <c r="AG61" s="1"/>
      <c r="AH61" s="1"/>
      <c r="AI61" s="1"/>
      <c r="AJ61" s="1"/>
      <c r="AK61" s="1"/>
      <c r="AL61" s="1"/>
    </row>
    <row r="62" customFormat="false" ht="19.3" hidden="false" customHeight="true" outlineLevel="0" collapsed="false">
      <c r="A62" s="1"/>
      <c r="B62" s="186"/>
      <c r="C62" s="187" t="s">
        <v>171</v>
      </c>
      <c r="D62" s="205" t="n">
        <f aca="false">RADIANS(MOD(D63-180,-360)+180)</f>
        <v>1.74532925200266E-005</v>
      </c>
      <c r="E62" s="205" t="n">
        <f aca="false">RADIANS(MOD(E63-180,-360)+180)</f>
        <v>0.261799387799149</v>
      </c>
      <c r="F62" s="205" t="n">
        <f aca="false">RADIANS(MOD(F63-180,-360)+180)</f>
        <v>0.523598775598299</v>
      </c>
      <c r="G62" s="205" t="n">
        <f aca="false">RADIANS(MOD(G63-180,-360)+180)</f>
        <v>0.785398163397448</v>
      </c>
      <c r="H62" s="205" t="n">
        <f aca="false">RADIANS(MOD(H63-180,-360)+180)</f>
        <v>1.0471975511966</v>
      </c>
      <c r="I62" s="205" t="n">
        <f aca="false">RADIANS(MOD(I63-180,-360)+180)</f>
        <v>1.30899693899575</v>
      </c>
      <c r="J62" s="205" t="n">
        <f aca="false">RADIANS(MOD(J63-180,-360)+180)</f>
        <v>1.5707963267949</v>
      </c>
      <c r="K62" s="205" t="n">
        <f aca="false">RADIANS(MOD(K63-180,-360)+180)</f>
        <v>1.83259571459405</v>
      </c>
      <c r="L62" s="205" t="n">
        <f aca="false">RADIANS(MOD(L63-180,-360)+180)</f>
        <v>2.0943951023932</v>
      </c>
      <c r="M62" s="205" t="n">
        <f aca="false">RADIANS(MOD(M63-180,-360)+180)</f>
        <v>2.35619449019234</v>
      </c>
      <c r="N62" s="205" t="n">
        <f aca="false">RADIANS(MOD(N63-180,-360)+180)</f>
        <v>2.61799387799149</v>
      </c>
      <c r="O62" s="205" t="n">
        <f aca="false">RADIANS(MOD(O63-180,-360)+180)</f>
        <v>2.87979326579064</v>
      </c>
      <c r="P62" s="205" t="n">
        <f aca="false">RADIANS(MOD(P63-180,-360)+180)</f>
        <v>3.14159265358979</v>
      </c>
      <c r="Q62" s="206" t="n">
        <f aca="false">RADIANS(MOD(Q63-180,-360)+180)</f>
        <v>-2.87979326579064</v>
      </c>
      <c r="R62" s="206" t="n">
        <f aca="false">RADIANS(MOD(R63-180,-360)+180)</f>
        <v>-2.61799387799149</v>
      </c>
      <c r="S62" s="206" t="n">
        <f aca="false">RADIANS(MOD(S63-180,-360)+180)</f>
        <v>-2.35619449019234</v>
      </c>
      <c r="T62" s="206" t="n">
        <f aca="false">RADIANS(MOD(T63-180,-360)+180)</f>
        <v>-2.0943951023932</v>
      </c>
      <c r="U62" s="206" t="n">
        <f aca="false">RADIANS(MOD(U63-180,-360)+180)</f>
        <v>-1.83259571459405</v>
      </c>
      <c r="V62" s="206" t="n">
        <f aca="false">RADIANS(MOD(V63-180,-360)+180)</f>
        <v>-1.5707963267949</v>
      </c>
      <c r="W62" s="206" t="n">
        <f aca="false">RADIANS(MOD(W63-180,-360)+180)</f>
        <v>-1.30899693899575</v>
      </c>
      <c r="X62" s="206" t="n">
        <f aca="false">RADIANS(MOD(X63-180,-360)+180)</f>
        <v>-1.0471975511966</v>
      </c>
      <c r="Y62" s="206" t="n">
        <f aca="false">RADIANS(MOD(Y63-180,-360)+180)</f>
        <v>-0.785398163397448</v>
      </c>
      <c r="Z62" s="206" t="n">
        <f aca="false">RADIANS(MOD(Z63-180,-360)+180)</f>
        <v>-0.523598775598299</v>
      </c>
      <c r="AA62" s="206" t="n">
        <f aca="false">RADIANS(MOD(AA63-180,-360)+180)</f>
        <v>-0.261799387799149</v>
      </c>
      <c r="AB62" s="206" t="n">
        <f aca="false">RADIANS(MOD(AB63-180,-360)+180)</f>
        <v>-0.000174532925199274</v>
      </c>
      <c r="AC62" s="184" t="n">
        <v>0</v>
      </c>
      <c r="AD62" s="184" t="n">
        <v>0</v>
      </c>
      <c r="AE62" s="1"/>
      <c r="AF62" s="1"/>
      <c r="AG62" s="1"/>
      <c r="AH62" s="1"/>
      <c r="AI62" s="1"/>
      <c r="AJ62" s="1"/>
      <c r="AK62" s="1"/>
      <c r="AL62" s="1"/>
    </row>
    <row r="63" customFormat="false" ht="19.3" hidden="false" customHeight="true" outlineLevel="0" collapsed="false">
      <c r="A63" s="190"/>
      <c r="B63" s="191" t="s">
        <v>173</v>
      </c>
      <c r="C63" s="1"/>
      <c r="D63" s="188" t="n">
        <v>0.001</v>
      </c>
      <c r="E63" s="207" t="n">
        <v>15</v>
      </c>
      <c r="F63" s="207" t="n">
        <v>30</v>
      </c>
      <c r="G63" s="207" t="n">
        <v>45</v>
      </c>
      <c r="H63" s="207" t="n">
        <v>60</v>
      </c>
      <c r="I63" s="207" t="n">
        <v>75</v>
      </c>
      <c r="J63" s="207" t="n">
        <v>90</v>
      </c>
      <c r="K63" s="207" t="n">
        <v>105</v>
      </c>
      <c r="L63" s="207" t="n">
        <v>120</v>
      </c>
      <c r="M63" s="207" t="n">
        <v>135</v>
      </c>
      <c r="N63" s="207" t="n">
        <v>150</v>
      </c>
      <c r="O63" s="207" t="n">
        <v>165</v>
      </c>
      <c r="P63" s="207" t="n">
        <v>180</v>
      </c>
      <c r="Q63" s="207" t="n">
        <v>-165</v>
      </c>
      <c r="R63" s="207" t="n">
        <v>-150</v>
      </c>
      <c r="S63" s="207" t="n">
        <v>-135</v>
      </c>
      <c r="T63" s="207" t="n">
        <v>-120</v>
      </c>
      <c r="U63" s="207" t="n">
        <v>-105</v>
      </c>
      <c r="V63" s="207" t="n">
        <v>-90</v>
      </c>
      <c r="W63" s="207" t="n">
        <v>-75</v>
      </c>
      <c r="X63" s="207" t="n">
        <v>-60</v>
      </c>
      <c r="Y63" s="207" t="n">
        <v>-45</v>
      </c>
      <c r="Z63" s="207" t="n">
        <v>-30</v>
      </c>
      <c r="AA63" s="207" t="n">
        <v>-15</v>
      </c>
      <c r="AB63" s="208" t="n">
        <v>-0.01</v>
      </c>
      <c r="AC63" s="193" t="n">
        <f aca="false">RADIANS(MOD(AC62-180,-360)+180)</f>
        <v>0</v>
      </c>
      <c r="AD63" s="193" t="n">
        <f aca="false">RADIANS(MOD(AD62-180,-360)+180)</f>
        <v>0</v>
      </c>
      <c r="AE63" s="1"/>
      <c r="AF63" s="1"/>
      <c r="AG63" s="1"/>
      <c r="AH63" s="1"/>
      <c r="AI63" s="1"/>
      <c r="AJ63" s="1"/>
      <c r="AK63" s="1"/>
      <c r="AL63" s="1"/>
    </row>
    <row r="64" customFormat="false" ht="12.75" hidden="false" customHeight="true" outlineLevel="0" collapsed="false">
      <c r="A64" s="192" t="n">
        <f aca="false">RADIANS(MOD(B64-180,-360)+180)</f>
        <v>1.74532925200266E-005</v>
      </c>
      <c r="B64" s="188" t="n">
        <v>0.001</v>
      </c>
      <c r="C64" s="1"/>
      <c r="D64" s="209" t="n">
        <f aca="false">DEGREES( ACOS( COS( RADIANS(D$63))  *  COS( RADIANS($B64))))</f>
        <v>0.00141421361485823</v>
      </c>
      <c r="E64" s="209" t="n">
        <f aca="false">DEGREES( ACOS( COS( RADIANS(E$63))  *  COS( RADIANS($B64))))</f>
        <v>15.0000000325683</v>
      </c>
      <c r="F64" s="209" t="n">
        <f aca="false">DEGREES( ACOS( COS( RADIANS(F$63))  *  COS( RADIANS($B64))))</f>
        <v>30.000000015115</v>
      </c>
      <c r="G64" s="209" t="n">
        <f aca="false">DEGREES( ACOS( COS( RADIANS(G$63))  *  COS( RADIANS($B64))))</f>
        <v>45.0000000087267</v>
      </c>
      <c r="H64" s="209" t="n">
        <f aca="false">DEGREES( ACOS( COS( RADIANS(H$63))  *  COS( RADIANS($B64))))</f>
        <v>60.0000000050383</v>
      </c>
      <c r="I64" s="209" t="n">
        <f aca="false">DEGREES( ACOS( COS( RADIANS(I$63))  *  COS( RADIANS($B64))))</f>
        <v>75.0000000023383</v>
      </c>
      <c r="J64" s="209" t="n">
        <f aca="false">DEGREES( ACOS( COS( RADIANS(J$63))  *  COS( RADIANS($B64))))</f>
        <v>90</v>
      </c>
      <c r="K64" s="209" t="n">
        <f aca="false">DEGREES( ACOS( COS( RADIANS(K$63))  *  COS( RADIANS($B64))))</f>
        <v>104.999999997662</v>
      </c>
      <c r="L64" s="209" t="n">
        <f aca="false">DEGREES( ACOS( COS( RADIANS(L$63))  *  COS( RADIANS($B64))))</f>
        <v>119.999999994962</v>
      </c>
      <c r="M64" s="209" t="n">
        <f aca="false">DEGREES( ACOS( COS( RADIANS(M$63))  *  COS( RADIANS($B64))))</f>
        <v>134.999999991273</v>
      </c>
      <c r="N64" s="209" t="n">
        <f aca="false">DEGREES( ACOS( COS( RADIANS(N$63))  *  COS( RADIANS($B64))))</f>
        <v>149.999999984885</v>
      </c>
      <c r="O64" s="209" t="n">
        <f aca="false">DEGREES( ACOS( COS( RADIANS(O$63))  *  COS( RADIANS($B64))))</f>
        <v>164.999999967432</v>
      </c>
      <c r="P64" s="209" t="n">
        <f aca="false">DEGREES( ACOS( COS( RADIANS(P$63))  *  COS( RADIANS($B64))))</f>
        <v>179.998999999963</v>
      </c>
      <c r="Q64" s="209" t="n">
        <f aca="false">DEGREES( ACOS( COS( RADIANS(Q$63))  *  COS( RADIANS($B64))))</f>
        <v>164.999999967432</v>
      </c>
      <c r="R64" s="209" t="n">
        <f aca="false">DEGREES( ACOS( COS( RADIANS(R$63))  *  COS( RADIANS($B64))))</f>
        <v>149.999999984885</v>
      </c>
      <c r="S64" s="209" t="n">
        <f aca="false">DEGREES( ACOS( COS( RADIANS(S$63))  *  COS( RADIANS($B64))))</f>
        <v>134.999999991273</v>
      </c>
      <c r="T64" s="209" t="n">
        <f aca="false">DEGREES( ACOS( COS( RADIANS(T$63))  *  COS( RADIANS($B64))))</f>
        <v>119.999999994962</v>
      </c>
      <c r="U64" s="209" t="n">
        <f aca="false">DEGREES( ACOS( COS( RADIANS(U$63))  *  COS( RADIANS($B64))))</f>
        <v>104.999999997662</v>
      </c>
      <c r="V64" s="209" t="n">
        <f aca="false">DEGREES( ACOS( COS( RADIANS(V$63))  *  COS( RADIANS($B64))))</f>
        <v>90</v>
      </c>
      <c r="W64" s="209" t="n">
        <f aca="false">DEGREES( ACOS( COS( RADIANS(W$63))  *  COS( RADIANS($B64))))</f>
        <v>75.0000000023383</v>
      </c>
      <c r="X64" s="209" t="n">
        <f aca="false">DEGREES( ACOS( COS( RADIANS(X$63))  *  COS( RADIANS($B64))))</f>
        <v>60.0000000050383</v>
      </c>
      <c r="Y64" s="209" t="n">
        <f aca="false">DEGREES( ACOS( COS( RADIANS(Y$63))  *  COS( RADIANS($B64))))</f>
        <v>45.0000000087267</v>
      </c>
      <c r="Z64" s="209" t="n">
        <f aca="false">DEGREES( ACOS( COS( RADIANS(Z$63))  *  COS( RADIANS($B64))))</f>
        <v>30.000000015115</v>
      </c>
      <c r="AA64" s="209" t="n">
        <f aca="false">DEGREES( ACOS( COS( RADIANS(AA$63))  *  COS( RADIANS($B64))))</f>
        <v>15.0000000325683</v>
      </c>
      <c r="AB64" s="209" t="n">
        <f aca="false">DEGREES( ACOS( COS( RADIANS(AB$63))  *  COS( RADIANS($B64))))</f>
        <v>0.0100498756078044</v>
      </c>
      <c r="AC64" s="195" t="n">
        <f aca="false">DEGREES( ACOS( COS( RADIANS(AC$63))  *  COS( RADIANS($B64))))</f>
        <v>0.0010000000370999</v>
      </c>
      <c r="AD64" s="195" t="n">
        <f aca="false">DEGREES( ACOS( COS( RADIANS(AD$63))  *  COS( RADIANS($B64))))</f>
        <v>0.0010000000370999</v>
      </c>
      <c r="AE64" s="1"/>
      <c r="AF64" s="1"/>
      <c r="AG64" s="1"/>
      <c r="AH64" s="1"/>
      <c r="AI64" s="1"/>
      <c r="AJ64" s="1"/>
      <c r="AK64" s="1"/>
      <c r="AL64" s="1"/>
    </row>
    <row r="65" customFormat="false" ht="12.75" hidden="false" customHeight="true" outlineLevel="0" collapsed="false">
      <c r="A65" s="192" t="n">
        <f aca="false">RADIANS(MOD(B65-180,-360)+180)</f>
        <v>0.261799387799149</v>
      </c>
      <c r="B65" s="182" t="n">
        <v>15</v>
      </c>
      <c r="C65" s="1"/>
      <c r="D65" s="209" t="n">
        <f aca="false">DEGREES( ACOS( COS( RADIANS(D$63))  *  COS( RADIANS($B65))))</f>
        <v>15.0000000325683</v>
      </c>
      <c r="E65" s="210" t="n">
        <f aca="false">DEGREES( ACOS( COS( RADIANS(E$63))  *  COS( RADIANS($B65))))</f>
        <v>21.0905811789991</v>
      </c>
      <c r="F65" s="210" t="n">
        <f aca="false">DEGREES( ACOS( COS( RADIANS(F$63))  *  COS( RADIANS($B65))))</f>
        <v>33.2259422032876</v>
      </c>
      <c r="G65" s="210" t="n">
        <f aca="false">DEGREES( ACOS( COS( RADIANS(G$63))  *  COS( RADIANS($B65))))</f>
        <v>46.9204828581291</v>
      </c>
      <c r="H65" s="210" t="n">
        <f aca="false">DEGREES( ACOS( COS( RADIANS(H$63))  *  COS( RADIANS($B65))))</f>
        <v>61.1209059825724</v>
      </c>
      <c r="I65" s="210" t="n">
        <f aca="false">DEGREES( ACOS( COS( RADIANS(I$63))  *  COS( RADIANS($B65))))</f>
        <v>75.5224878140701</v>
      </c>
      <c r="J65" s="209" t="n">
        <f aca="false">DEGREES( ACOS( COS( RADIANS(J$63))  *  COS( RADIANS($B65))))</f>
        <v>90</v>
      </c>
      <c r="K65" s="210" t="n">
        <f aca="false">DEGREES( ACOS( COS( RADIANS(K$63))  *  COS( RADIANS($B65))))</f>
        <v>104.47751218593</v>
      </c>
      <c r="L65" s="210" t="n">
        <f aca="false">DEGREES( ACOS( COS( RADIANS(L$63))  *  COS( RADIANS($B65))))</f>
        <v>118.879094017428</v>
      </c>
      <c r="M65" s="210" t="n">
        <f aca="false">DEGREES( ACOS( COS( RADIANS(M$63))  *  COS( RADIANS($B65))))</f>
        <v>133.079517141871</v>
      </c>
      <c r="N65" s="210" t="n">
        <f aca="false">DEGREES( ACOS( COS( RADIANS(N$63))  *  COS( RADIANS($B65))))</f>
        <v>146.774057796712</v>
      </c>
      <c r="O65" s="210" t="n">
        <f aca="false">DEGREES( ACOS( COS( RADIANS(O$63))  *  COS( RADIANS($B65))))</f>
        <v>158.909418821001</v>
      </c>
      <c r="P65" s="209" t="n">
        <f aca="false">DEGREES( ACOS( COS( RADIANS(P$63))  *  COS( RADIANS($B65))))</f>
        <v>165</v>
      </c>
      <c r="Q65" s="210" t="n">
        <f aca="false">DEGREES( ACOS( COS( RADIANS(Q$63))  *  COS( RADIANS($B65))))</f>
        <v>158.909418821001</v>
      </c>
      <c r="R65" s="210" t="n">
        <f aca="false">DEGREES( ACOS( COS( RADIANS(R$63))  *  COS( RADIANS($B65))))</f>
        <v>146.774057796712</v>
      </c>
      <c r="S65" s="210" t="n">
        <f aca="false">DEGREES( ACOS( COS( RADIANS(S$63))  *  COS( RADIANS($B65))))</f>
        <v>133.079517141871</v>
      </c>
      <c r="T65" s="210" t="n">
        <f aca="false">DEGREES( ACOS( COS( RADIANS(T$63))  *  COS( RADIANS($B65))))</f>
        <v>118.879094017428</v>
      </c>
      <c r="U65" s="210" t="n">
        <f aca="false">DEGREES( ACOS( COS( RADIANS(U$63))  *  COS( RADIANS($B65))))</f>
        <v>104.47751218593</v>
      </c>
      <c r="V65" s="209" t="n">
        <f aca="false">DEGREES( ACOS( COS( RADIANS(V$63))  *  COS( RADIANS($B65))))</f>
        <v>90</v>
      </c>
      <c r="W65" s="210" t="n">
        <f aca="false">DEGREES( ACOS( COS( RADIANS(W$63))  *  COS( RADIANS($B65))))</f>
        <v>75.5224878140701</v>
      </c>
      <c r="X65" s="210" t="n">
        <f aca="false">DEGREES( ACOS( COS( RADIANS(X$63))  *  COS( RADIANS($B65))))</f>
        <v>61.1209059825724</v>
      </c>
      <c r="Y65" s="210" t="n">
        <f aca="false">DEGREES( ACOS( COS( RADIANS(Y$63))  *  COS( RADIANS($B65))))</f>
        <v>46.9204828581291</v>
      </c>
      <c r="Z65" s="210" t="n">
        <f aca="false">DEGREES( ACOS( COS( RADIANS(Z$63))  *  COS( RADIANS($B65))))</f>
        <v>33.2259422032876</v>
      </c>
      <c r="AA65" s="210" t="n">
        <f aca="false">DEGREES( ACOS( COS( RADIANS(AA$63))  *  COS( RADIANS($B65))))</f>
        <v>21.0905811789991</v>
      </c>
      <c r="AB65" s="209" t="n">
        <f aca="false">DEGREES( ACOS( COS( RADIANS(AB$63))  *  COS( RADIANS($B65))))</f>
        <v>15.0000032568284</v>
      </c>
      <c r="AC65" s="195" t="n">
        <f aca="false">DEGREES( ACOS( COS( RADIANS(AC$63))  *  COS( RADIANS($B65))))</f>
        <v>15</v>
      </c>
      <c r="AD65" s="195" t="n">
        <f aca="false">DEGREES( ACOS( COS( RADIANS(AD$63))  *  COS( RADIANS($B65))))</f>
        <v>15</v>
      </c>
      <c r="AE65" s="1"/>
      <c r="AF65" s="1"/>
      <c r="AG65" s="1"/>
      <c r="AH65" s="1"/>
      <c r="AI65" s="1"/>
      <c r="AJ65" s="1"/>
      <c r="AK65" s="1"/>
      <c r="AL65" s="1"/>
    </row>
    <row r="66" customFormat="false" ht="12.75" hidden="false" customHeight="true" outlineLevel="0" collapsed="false">
      <c r="A66" s="192" t="n">
        <f aca="false">RADIANS(MOD(B66-180,-360)+180)</f>
        <v>0.523598775598299</v>
      </c>
      <c r="B66" s="182" t="n">
        <v>30</v>
      </c>
      <c r="C66" s="1"/>
      <c r="D66" s="209" t="n">
        <f aca="false">DEGREES( ACOS( COS( RADIANS(D$63))  *  COS( RADIANS($B66))))</f>
        <v>30.000000015115</v>
      </c>
      <c r="E66" s="210" t="n">
        <f aca="false">DEGREES( ACOS( COS( RADIANS(E$63))  *  COS( RADIANS($B66))))</f>
        <v>33.2259422032876</v>
      </c>
      <c r="F66" s="210" t="n">
        <f aca="false">DEGREES( ACOS( COS( RADIANS(F$63))  *  COS( RADIANS($B66))))</f>
        <v>41.4096221092709</v>
      </c>
      <c r="G66" s="210" t="n">
        <f aca="false">DEGREES( ACOS( COS( RADIANS(G$63))  *  COS( RADIANS($B66))))</f>
        <v>52.238756092965</v>
      </c>
      <c r="H66" s="210" t="n">
        <f aca="false">DEGREES( ACOS( COS( RADIANS(H$63))  *  COS( RADIANS($B66))))</f>
        <v>64.3410937267447</v>
      </c>
      <c r="I66" s="210" t="n">
        <f aca="false">DEGREES( ACOS( COS( RADIANS(I$63))  *  COS( RADIANS($B66))))</f>
        <v>77.0474603577776</v>
      </c>
      <c r="J66" s="209" t="n">
        <f aca="false">DEGREES( ACOS( COS( RADIANS(J$63))  *  COS( RADIANS($B66))))</f>
        <v>90</v>
      </c>
      <c r="K66" s="210" t="n">
        <f aca="false">DEGREES( ACOS( COS( RADIANS(K$63))  *  COS( RADIANS($B66))))</f>
        <v>102.952539642222</v>
      </c>
      <c r="L66" s="210" t="n">
        <f aca="false">DEGREES( ACOS( COS( RADIANS(L$63))  *  COS( RADIANS($B66))))</f>
        <v>115.658906273255</v>
      </c>
      <c r="M66" s="210" t="n">
        <f aca="false">DEGREES( ACOS( COS( RADIANS(M$63))  *  COS( RADIANS($B66))))</f>
        <v>127.761243907035</v>
      </c>
      <c r="N66" s="210" t="n">
        <f aca="false">DEGREES( ACOS( COS( RADIANS(N$63))  *  COS( RADIANS($B66))))</f>
        <v>138.590377890729</v>
      </c>
      <c r="O66" s="210" t="n">
        <f aca="false">DEGREES( ACOS( COS( RADIANS(O$63))  *  COS( RADIANS($B66))))</f>
        <v>146.774057796712</v>
      </c>
      <c r="P66" s="209" t="n">
        <f aca="false">DEGREES( ACOS( COS( RADIANS(P$63))  *  COS( RADIANS($B66))))</f>
        <v>150</v>
      </c>
      <c r="Q66" s="210" t="n">
        <f aca="false">DEGREES( ACOS( COS( RADIANS(Q$63))  *  COS( RADIANS($B66))))</f>
        <v>146.774057796712</v>
      </c>
      <c r="R66" s="210" t="n">
        <f aca="false">DEGREES( ACOS( COS( RADIANS(R$63))  *  COS( RADIANS($B66))))</f>
        <v>138.590377890729</v>
      </c>
      <c r="S66" s="210" t="n">
        <f aca="false">DEGREES( ACOS( COS( RADIANS(S$63))  *  COS( RADIANS($B66))))</f>
        <v>127.761243907035</v>
      </c>
      <c r="T66" s="210" t="n">
        <f aca="false">DEGREES( ACOS( COS( RADIANS(T$63))  *  COS( RADIANS($B66))))</f>
        <v>115.658906273255</v>
      </c>
      <c r="U66" s="210" t="n">
        <f aca="false">DEGREES( ACOS( COS( RADIANS(U$63))  *  COS( RADIANS($B66))))</f>
        <v>102.952539642222</v>
      </c>
      <c r="V66" s="209" t="n">
        <f aca="false">DEGREES( ACOS( COS( RADIANS(V$63))  *  COS( RADIANS($B66))))</f>
        <v>90</v>
      </c>
      <c r="W66" s="210" t="n">
        <f aca="false">DEGREES( ACOS( COS( RADIANS(W$63))  *  COS( RADIANS($B66))))</f>
        <v>77.0474603577776</v>
      </c>
      <c r="X66" s="210" t="n">
        <f aca="false">DEGREES( ACOS( COS( RADIANS(X$63))  *  COS( RADIANS($B66))))</f>
        <v>64.3410937267447</v>
      </c>
      <c r="Y66" s="210" t="n">
        <f aca="false">DEGREES( ACOS( COS( RADIANS(Y$63))  *  COS( RADIANS($B66))))</f>
        <v>52.238756092965</v>
      </c>
      <c r="Z66" s="210" t="n">
        <f aca="false">DEGREES( ACOS( COS( RADIANS(Z$63))  *  COS( RADIANS($B66))))</f>
        <v>41.4096221092709</v>
      </c>
      <c r="AA66" s="210" t="n">
        <f aca="false">DEGREES( ACOS( COS( RADIANS(AA$63))  *  COS( RADIANS($B66))))</f>
        <v>33.2259422032876</v>
      </c>
      <c r="AB66" s="209" t="n">
        <f aca="false">DEGREES( ACOS( COS( RADIANS(AB$63))  *  COS( RADIANS($B66))))</f>
        <v>30.0000015114994</v>
      </c>
      <c r="AC66" s="195" t="n">
        <f aca="false">DEGREES( ACOS( COS( RADIANS(AC$63))  *  COS( RADIANS($B66))))</f>
        <v>30</v>
      </c>
      <c r="AD66" s="195" t="n">
        <f aca="false">DEGREES( ACOS( COS( RADIANS(AD$63))  *  COS( RADIANS($B66))))</f>
        <v>30</v>
      </c>
      <c r="AE66" s="1"/>
      <c r="AF66" s="1"/>
      <c r="AG66" s="1"/>
      <c r="AH66" s="1"/>
      <c r="AI66" s="1"/>
      <c r="AJ66" s="1"/>
      <c r="AK66" s="1"/>
      <c r="AL66" s="1"/>
    </row>
    <row r="67" customFormat="false" ht="12.75" hidden="false" customHeight="true" outlineLevel="0" collapsed="false">
      <c r="A67" s="192" t="n">
        <f aca="false">RADIANS(MOD(B67-180,-360)+180)</f>
        <v>0.785398163397448</v>
      </c>
      <c r="B67" s="182" t="n">
        <v>45</v>
      </c>
      <c r="C67" s="1"/>
      <c r="D67" s="209" t="n">
        <f aca="false">DEGREES( ACOS( COS( RADIANS(D$63))  *  COS( RADIANS($B67))))</f>
        <v>45.0000000087267</v>
      </c>
      <c r="E67" s="210" t="n">
        <f aca="false">DEGREES( ACOS( COS( RADIANS(E$63))  *  COS( RADIANS($B67))))</f>
        <v>46.9204828581291</v>
      </c>
      <c r="F67" s="210" t="n">
        <f aca="false">DEGREES( ACOS( COS( RADIANS(F$63))  *  COS( RADIANS($B67))))</f>
        <v>52.238756092965</v>
      </c>
      <c r="G67" s="210" t="n">
        <f aca="false">DEGREES( ACOS( COS( RADIANS(G$63))  *  COS( RADIANS($B67))))</f>
        <v>60</v>
      </c>
      <c r="H67" s="210" t="n">
        <f aca="false">DEGREES( ACOS( COS( RADIANS(H$63))  *  COS( RADIANS($B67))))</f>
        <v>69.2951889453646</v>
      </c>
      <c r="I67" s="210" t="n">
        <f aca="false">DEGREES( ACOS( COS( RADIANS(I$63))  *  COS( RADIANS($B67))))</f>
        <v>79.4547094105004</v>
      </c>
      <c r="J67" s="209" t="n">
        <f aca="false">DEGREES( ACOS( COS( RADIANS(J$63))  *  COS( RADIANS($B67))))</f>
        <v>90</v>
      </c>
      <c r="K67" s="210" t="n">
        <f aca="false">DEGREES( ACOS( COS( RADIANS(K$63))  *  COS( RADIANS($B67))))</f>
        <v>100.5452905895</v>
      </c>
      <c r="L67" s="210" t="n">
        <f aca="false">DEGREES( ACOS( COS( RADIANS(L$63))  *  COS( RADIANS($B67))))</f>
        <v>110.704811054635</v>
      </c>
      <c r="M67" s="210" t="n">
        <f aca="false">DEGREES( ACOS( COS( RADIANS(M$63))  *  COS( RADIANS($B67))))</f>
        <v>120</v>
      </c>
      <c r="N67" s="210" t="n">
        <f aca="false">DEGREES( ACOS( COS( RADIANS(N$63))  *  COS( RADIANS($B67))))</f>
        <v>127.761243907035</v>
      </c>
      <c r="O67" s="210" t="n">
        <f aca="false">DEGREES( ACOS( COS( RADIANS(O$63))  *  COS( RADIANS($B67))))</f>
        <v>133.079517141871</v>
      </c>
      <c r="P67" s="209" t="n">
        <f aca="false">DEGREES( ACOS( COS( RADIANS(P$63))  *  COS( RADIANS($B67))))</f>
        <v>135</v>
      </c>
      <c r="Q67" s="210" t="n">
        <f aca="false">DEGREES( ACOS( COS( RADIANS(Q$63))  *  COS( RADIANS($B67))))</f>
        <v>133.079517141871</v>
      </c>
      <c r="R67" s="210" t="n">
        <f aca="false">DEGREES( ACOS( COS( RADIANS(R$63))  *  COS( RADIANS($B67))))</f>
        <v>127.761243907035</v>
      </c>
      <c r="S67" s="210" t="n">
        <f aca="false">DEGREES( ACOS( COS( RADIANS(S$63))  *  COS( RADIANS($B67))))</f>
        <v>120</v>
      </c>
      <c r="T67" s="210" t="n">
        <f aca="false">DEGREES( ACOS( COS( RADIANS(T$63))  *  COS( RADIANS($B67))))</f>
        <v>110.704811054635</v>
      </c>
      <c r="U67" s="210" t="n">
        <f aca="false">DEGREES( ACOS( COS( RADIANS(U$63))  *  COS( RADIANS($B67))))</f>
        <v>100.5452905895</v>
      </c>
      <c r="V67" s="209" t="n">
        <f aca="false">DEGREES( ACOS( COS( RADIANS(V$63))  *  COS( RADIANS($B67))))</f>
        <v>90</v>
      </c>
      <c r="W67" s="210" t="n">
        <f aca="false">DEGREES( ACOS( COS( RADIANS(W$63))  *  COS( RADIANS($B67))))</f>
        <v>79.4547094105004</v>
      </c>
      <c r="X67" s="210" t="n">
        <f aca="false">DEGREES( ACOS( COS( RADIANS(X$63))  *  COS( RADIANS($B67))))</f>
        <v>69.2951889453646</v>
      </c>
      <c r="Y67" s="210" t="n">
        <f aca="false">DEGREES( ACOS( COS( RADIANS(Y$63))  *  COS( RADIANS($B67))))</f>
        <v>60</v>
      </c>
      <c r="Z67" s="210" t="n">
        <f aca="false">DEGREES( ACOS( COS( RADIANS(Z$63))  *  COS( RADIANS($B67))))</f>
        <v>52.238756092965</v>
      </c>
      <c r="AA67" s="210" t="n">
        <f aca="false">DEGREES( ACOS( COS( RADIANS(AA$63))  *  COS( RADIANS($B67))))</f>
        <v>46.9204828581291</v>
      </c>
      <c r="AB67" s="209" t="n">
        <f aca="false">DEGREES( ACOS( COS( RADIANS(AB$63))  *  COS( RADIANS($B67))))</f>
        <v>45.0000008726646</v>
      </c>
      <c r="AC67" s="195" t="n">
        <f aca="false">DEGREES( ACOS( COS( RADIANS(AC$63))  *  COS( RADIANS($B67))))</f>
        <v>45</v>
      </c>
      <c r="AD67" s="195" t="n">
        <f aca="false">DEGREES( ACOS( COS( RADIANS(AD$63))  *  COS( RADIANS($B67))))</f>
        <v>45</v>
      </c>
      <c r="AE67" s="1"/>
      <c r="AF67" s="1"/>
      <c r="AG67" s="1"/>
      <c r="AH67" s="1"/>
      <c r="AI67" s="1"/>
      <c r="AJ67" s="1"/>
      <c r="AK67" s="1"/>
      <c r="AL67" s="1"/>
    </row>
    <row r="68" customFormat="false" ht="12.75" hidden="false" customHeight="true" outlineLevel="0" collapsed="false">
      <c r="A68" s="192" t="n">
        <f aca="false">RADIANS(MOD(B68-180,-360)+180)</f>
        <v>1.0471975511966</v>
      </c>
      <c r="B68" s="182" t="n">
        <v>60</v>
      </c>
      <c r="C68" s="1"/>
      <c r="D68" s="209" t="n">
        <f aca="false">DEGREES( ACOS( COS( RADIANS(D$63))  *  COS( RADIANS($B68))))</f>
        <v>60.0000000050383</v>
      </c>
      <c r="E68" s="210" t="n">
        <f aca="false">DEGREES( ACOS( COS( RADIANS(E$63))  *  COS( RADIANS($B68))))</f>
        <v>61.1209059825724</v>
      </c>
      <c r="F68" s="210" t="n">
        <f aca="false">DEGREES( ACOS( COS( RADIANS(F$63))  *  COS( RADIANS($B68))))</f>
        <v>64.3410937267447</v>
      </c>
      <c r="G68" s="210" t="n">
        <f aca="false">DEGREES( ACOS( COS( RADIANS(G$63))  *  COS( RADIANS($B68))))</f>
        <v>69.2951889453646</v>
      </c>
      <c r="H68" s="210" t="n">
        <f aca="false">DEGREES( ACOS( COS( RADIANS(H$63))  *  COS( RADIANS($B68))))</f>
        <v>75.5224878140701</v>
      </c>
      <c r="I68" s="210" t="n">
        <f aca="false">DEGREES( ACOS( COS( RADIANS(I$63))  *  COS( RADIANS($B68))))</f>
        <v>82.5645277738682</v>
      </c>
      <c r="J68" s="209" t="n">
        <f aca="false">DEGREES( ACOS( COS( RADIANS(J$63))  *  COS( RADIANS($B68))))</f>
        <v>90</v>
      </c>
      <c r="K68" s="210" t="n">
        <f aca="false">DEGREES( ACOS( COS( RADIANS(K$63))  *  COS( RADIANS($B68))))</f>
        <v>97.4354722261319</v>
      </c>
      <c r="L68" s="210" t="n">
        <f aca="false">DEGREES( ACOS( COS( RADIANS(L$63))  *  COS( RADIANS($B68))))</f>
        <v>104.47751218593</v>
      </c>
      <c r="M68" s="210" t="n">
        <f aca="false">DEGREES( ACOS( COS( RADIANS(M$63))  *  COS( RADIANS($B68))))</f>
        <v>110.704811054635</v>
      </c>
      <c r="N68" s="210" t="n">
        <f aca="false">DEGREES( ACOS( COS( RADIANS(N$63))  *  COS( RADIANS($B68))))</f>
        <v>115.658906273255</v>
      </c>
      <c r="O68" s="210" t="n">
        <f aca="false">DEGREES( ACOS( COS( RADIANS(O$63))  *  COS( RADIANS($B68))))</f>
        <v>118.879094017428</v>
      </c>
      <c r="P68" s="209" t="n">
        <f aca="false">DEGREES( ACOS( COS( RADIANS(P$63))  *  COS( RADIANS($B68))))</f>
        <v>120</v>
      </c>
      <c r="Q68" s="210" t="n">
        <f aca="false">DEGREES( ACOS( COS( RADIANS(Q$63))  *  COS( RADIANS($B68))))</f>
        <v>118.879094017428</v>
      </c>
      <c r="R68" s="210" t="n">
        <f aca="false">DEGREES( ACOS( COS( RADIANS(R$63))  *  COS( RADIANS($B68))))</f>
        <v>115.658906273255</v>
      </c>
      <c r="S68" s="210" t="n">
        <f aca="false">DEGREES( ACOS( COS( RADIANS(S$63))  *  COS( RADIANS($B68))))</f>
        <v>110.704811054635</v>
      </c>
      <c r="T68" s="210" t="n">
        <f aca="false">DEGREES( ACOS( COS( RADIANS(T$63))  *  COS( RADIANS($B68))))</f>
        <v>104.47751218593</v>
      </c>
      <c r="U68" s="210" t="n">
        <f aca="false">DEGREES( ACOS( COS( RADIANS(U$63))  *  COS( RADIANS($B68))))</f>
        <v>97.4354722261319</v>
      </c>
      <c r="V68" s="209" t="n">
        <f aca="false">DEGREES( ACOS( COS( RADIANS(V$63))  *  COS( RADIANS($B68))))</f>
        <v>90</v>
      </c>
      <c r="W68" s="210" t="n">
        <f aca="false">DEGREES( ACOS( COS( RADIANS(W$63))  *  COS( RADIANS($B68))))</f>
        <v>82.5645277738682</v>
      </c>
      <c r="X68" s="210" t="n">
        <f aca="false">DEGREES( ACOS( COS( RADIANS(X$63))  *  COS( RADIANS($B68))))</f>
        <v>75.5224878140701</v>
      </c>
      <c r="Y68" s="210" t="n">
        <f aca="false">DEGREES( ACOS( COS( RADIANS(Y$63))  *  COS( RADIANS($B68))))</f>
        <v>69.2951889453646</v>
      </c>
      <c r="Z68" s="210" t="n">
        <f aca="false">DEGREES( ACOS( COS( RADIANS(Z$63))  *  COS( RADIANS($B68))))</f>
        <v>64.3410937267447</v>
      </c>
      <c r="AA68" s="210" t="n">
        <f aca="false">DEGREES( ACOS( COS( RADIANS(AA$63))  *  COS( RADIANS($B68))))</f>
        <v>61.1209059825724</v>
      </c>
      <c r="AB68" s="209" t="n">
        <f aca="false">DEGREES( ACOS( COS( RADIANS(AB$63))  *  COS( RADIANS($B68))))</f>
        <v>60.0000005038332</v>
      </c>
      <c r="AC68" s="195" t="n">
        <f aca="false">DEGREES( ACOS( COS( RADIANS(AC$63))  *  COS( RADIANS($B68))))</f>
        <v>60</v>
      </c>
      <c r="AD68" s="195" t="n">
        <f aca="false">DEGREES( ACOS( COS( RADIANS(AD$63))  *  COS( RADIANS($B68))))</f>
        <v>60</v>
      </c>
      <c r="AE68" s="1"/>
      <c r="AF68" s="1"/>
      <c r="AG68" s="1"/>
      <c r="AH68" s="1"/>
      <c r="AI68" s="1"/>
      <c r="AJ68" s="1"/>
      <c r="AK68" s="1"/>
      <c r="AL68" s="1"/>
    </row>
    <row r="69" customFormat="false" ht="12.75" hidden="false" customHeight="true" outlineLevel="0" collapsed="false">
      <c r="A69" s="192" t="n">
        <f aca="false">RADIANS(MOD(B69-180,-360)+180)</f>
        <v>1.30899693899575</v>
      </c>
      <c r="B69" s="182" t="n">
        <v>75</v>
      </c>
      <c r="C69" s="1"/>
      <c r="D69" s="209" t="n">
        <f aca="false">DEGREES( ACOS( COS( RADIANS(D$63))  *  COS( RADIANS($B69))))</f>
        <v>75.0000000023383</v>
      </c>
      <c r="E69" s="210" t="n">
        <f aca="false">DEGREES( ACOS( COS( RADIANS(E$63))  *  COS( RADIANS($B69))))</f>
        <v>75.5224878140701</v>
      </c>
      <c r="F69" s="210" t="n">
        <f aca="false">DEGREES( ACOS( COS( RADIANS(F$63))  *  COS( RADIANS($B69))))</f>
        <v>77.0474603577776</v>
      </c>
      <c r="G69" s="210" t="n">
        <f aca="false">DEGREES( ACOS( COS( RADIANS(G$63))  *  COS( RADIANS($B69))))</f>
        <v>79.4547094105004</v>
      </c>
      <c r="H69" s="210" t="n">
        <f aca="false">DEGREES( ACOS( COS( RADIANS(H$63))  *  COS( RADIANS($B69))))</f>
        <v>82.5645277738682</v>
      </c>
      <c r="I69" s="210" t="n">
        <f aca="false">DEGREES( ACOS( COS( RADIANS(I$63))  *  COS( RADIANS($B69))))</f>
        <v>86.1590342837419</v>
      </c>
      <c r="J69" s="209" t="n">
        <f aca="false">DEGREES( ACOS( COS( RADIANS(J$63))  *  COS( RADIANS($B69))))</f>
        <v>90</v>
      </c>
      <c r="K69" s="210" t="n">
        <f aca="false">DEGREES( ACOS( COS( RADIANS(K$63))  *  COS( RADIANS($B69))))</f>
        <v>93.8409657162582</v>
      </c>
      <c r="L69" s="210" t="n">
        <f aca="false">DEGREES( ACOS( COS( RADIANS(L$63))  *  COS( RADIANS($B69))))</f>
        <v>97.4354722261319</v>
      </c>
      <c r="M69" s="210" t="n">
        <f aca="false">DEGREES( ACOS( COS( RADIANS(M$63))  *  COS( RADIANS($B69))))</f>
        <v>100.5452905895</v>
      </c>
      <c r="N69" s="210" t="n">
        <f aca="false">DEGREES( ACOS( COS( RADIANS(N$63))  *  COS( RADIANS($B69))))</f>
        <v>102.952539642222</v>
      </c>
      <c r="O69" s="210" t="n">
        <f aca="false">DEGREES( ACOS( COS( RADIANS(O$63))  *  COS( RADIANS($B69))))</f>
        <v>104.47751218593</v>
      </c>
      <c r="P69" s="209" t="n">
        <f aca="false">DEGREES( ACOS( COS( RADIANS(P$63))  *  COS( RADIANS($B69))))</f>
        <v>105</v>
      </c>
      <c r="Q69" s="210" t="n">
        <f aca="false">DEGREES( ACOS( COS( RADIANS(Q$63))  *  COS( RADIANS($B69))))</f>
        <v>104.47751218593</v>
      </c>
      <c r="R69" s="210" t="n">
        <f aca="false">DEGREES( ACOS( COS( RADIANS(R$63))  *  COS( RADIANS($B69))))</f>
        <v>102.952539642222</v>
      </c>
      <c r="S69" s="210" t="n">
        <f aca="false">DEGREES( ACOS( COS( RADIANS(S$63))  *  COS( RADIANS($B69))))</f>
        <v>100.5452905895</v>
      </c>
      <c r="T69" s="210" t="n">
        <f aca="false">DEGREES( ACOS( COS( RADIANS(T$63))  *  COS( RADIANS($B69))))</f>
        <v>97.4354722261319</v>
      </c>
      <c r="U69" s="210" t="n">
        <f aca="false">DEGREES( ACOS( COS( RADIANS(U$63))  *  COS( RADIANS($B69))))</f>
        <v>93.8409657162582</v>
      </c>
      <c r="V69" s="209" t="n">
        <f aca="false">DEGREES( ACOS( COS( RADIANS(V$63))  *  COS( RADIANS($B69))))</f>
        <v>90</v>
      </c>
      <c r="W69" s="210" t="n">
        <f aca="false">DEGREES( ACOS( COS( RADIANS(W$63))  *  COS( RADIANS($B69))))</f>
        <v>86.1590342837419</v>
      </c>
      <c r="X69" s="210" t="n">
        <f aca="false">DEGREES( ACOS( COS( RADIANS(X$63))  *  COS( RADIANS($B69))))</f>
        <v>82.5645277738682</v>
      </c>
      <c r="Y69" s="210" t="n">
        <f aca="false">DEGREES( ACOS( COS( RADIANS(Y$63))  *  COS( RADIANS($B69))))</f>
        <v>79.4547094105004</v>
      </c>
      <c r="Z69" s="210" t="n">
        <f aca="false">DEGREES( ACOS( COS( RADIANS(Z$63))  *  COS( RADIANS($B69))))</f>
        <v>77.0474603577776</v>
      </c>
      <c r="AA69" s="210" t="n">
        <f aca="false">DEGREES( ACOS( COS( RADIANS(AA$63))  *  COS( RADIANS($B69))))</f>
        <v>75.5224878140701</v>
      </c>
      <c r="AB69" s="209" t="n">
        <f aca="false">DEGREES( ACOS( COS( RADIANS(AB$63))  *  COS( RADIANS($B69))))</f>
        <v>75.0000002338298</v>
      </c>
      <c r="AC69" s="195" t="n">
        <f aca="false">DEGREES( ACOS( COS( RADIANS(AC$63))  *  COS( RADIANS($B69))))</f>
        <v>75</v>
      </c>
      <c r="AD69" s="195" t="n">
        <f aca="false">DEGREES( ACOS( COS( RADIANS(AD$63))  *  COS( RADIANS($B69))))</f>
        <v>75</v>
      </c>
      <c r="AE69" s="1"/>
      <c r="AF69" s="1"/>
      <c r="AG69" s="1"/>
      <c r="AH69" s="1"/>
      <c r="AI69" s="1"/>
      <c r="AJ69" s="1"/>
      <c r="AK69" s="1"/>
      <c r="AL69" s="1"/>
    </row>
    <row r="70" customFormat="false" ht="12.75" hidden="false" customHeight="true" outlineLevel="0" collapsed="false">
      <c r="A70" s="192" t="n">
        <f aca="false">RADIANS(MOD(B70-180,-360)+180)</f>
        <v>1.5707963267949</v>
      </c>
      <c r="B70" s="182" t="n">
        <v>90</v>
      </c>
      <c r="C70" s="1"/>
      <c r="D70" s="209" t="n">
        <f aca="false">DEGREES( ACOS( COS( RADIANS(D$63))  *  COS( RADIANS($B70))))</f>
        <v>90</v>
      </c>
      <c r="E70" s="209" t="n">
        <f aca="false">DEGREES( ACOS( COS( RADIANS(E$63))  *  COS( RADIANS($B70))))</f>
        <v>90</v>
      </c>
      <c r="F70" s="209" t="n">
        <f aca="false">DEGREES( ACOS( COS( RADIANS(F$63))  *  COS( RADIANS($B70))))</f>
        <v>90</v>
      </c>
      <c r="G70" s="209" t="n">
        <f aca="false">DEGREES( ACOS( COS( RADIANS(G$63))  *  COS( RADIANS($B70))))</f>
        <v>90</v>
      </c>
      <c r="H70" s="209" t="n">
        <f aca="false">DEGREES( ACOS( COS( RADIANS(H$63))  *  COS( RADIANS($B70))))</f>
        <v>90</v>
      </c>
      <c r="I70" s="209" t="n">
        <f aca="false">DEGREES( ACOS( COS( RADIANS(I$63))  *  COS( RADIANS($B70))))</f>
        <v>90</v>
      </c>
      <c r="J70" s="209" t="n">
        <f aca="false">DEGREES( ACOS( COS( RADIANS(J$63))  *  COS( RADIANS($B70))))</f>
        <v>90</v>
      </c>
      <c r="K70" s="209" t="n">
        <f aca="false">DEGREES( ACOS( COS( RADIANS(K$63))  *  COS( RADIANS($B70))))</f>
        <v>90</v>
      </c>
      <c r="L70" s="209" t="n">
        <f aca="false">DEGREES( ACOS( COS( RADIANS(L$63))  *  COS( RADIANS($B70))))</f>
        <v>90</v>
      </c>
      <c r="M70" s="209" t="n">
        <f aca="false">DEGREES( ACOS( COS( RADIANS(M$63))  *  COS( RADIANS($B70))))</f>
        <v>90</v>
      </c>
      <c r="N70" s="209" t="n">
        <f aca="false">DEGREES( ACOS( COS( RADIANS(N$63))  *  COS( RADIANS($B70))))</f>
        <v>90</v>
      </c>
      <c r="O70" s="209" t="n">
        <f aca="false">DEGREES( ACOS( COS( RADIANS(O$63))  *  COS( RADIANS($B70))))</f>
        <v>90</v>
      </c>
      <c r="P70" s="209" t="n">
        <f aca="false">DEGREES( ACOS( COS( RADIANS(P$63))  *  COS( RADIANS($B70))))</f>
        <v>90</v>
      </c>
      <c r="Q70" s="209" t="n">
        <f aca="false">DEGREES( ACOS( COS( RADIANS(Q$63))  *  COS( RADIANS($B70))))</f>
        <v>90</v>
      </c>
      <c r="R70" s="209" t="n">
        <f aca="false">DEGREES( ACOS( COS( RADIANS(R$63))  *  COS( RADIANS($B70))))</f>
        <v>90</v>
      </c>
      <c r="S70" s="209" t="n">
        <f aca="false">DEGREES( ACOS( COS( RADIANS(S$63))  *  COS( RADIANS($B70))))</f>
        <v>90</v>
      </c>
      <c r="T70" s="209" t="n">
        <f aca="false">DEGREES( ACOS( COS( RADIANS(T$63))  *  COS( RADIANS($B70))))</f>
        <v>90</v>
      </c>
      <c r="U70" s="209" t="n">
        <f aca="false">DEGREES( ACOS( COS( RADIANS(U$63))  *  COS( RADIANS($B70))))</f>
        <v>90</v>
      </c>
      <c r="V70" s="209" t="n">
        <f aca="false">DEGREES( ACOS( COS( RADIANS(V$63))  *  COS( RADIANS($B70))))</f>
        <v>90</v>
      </c>
      <c r="W70" s="209" t="n">
        <f aca="false">DEGREES( ACOS( COS( RADIANS(W$63))  *  COS( RADIANS($B70))))</f>
        <v>90</v>
      </c>
      <c r="X70" s="209" t="n">
        <f aca="false">DEGREES( ACOS( COS( RADIANS(X$63))  *  COS( RADIANS($B70))))</f>
        <v>90</v>
      </c>
      <c r="Y70" s="209" t="n">
        <f aca="false">DEGREES( ACOS( COS( RADIANS(Y$63))  *  COS( RADIANS($B70))))</f>
        <v>90</v>
      </c>
      <c r="Z70" s="209" t="n">
        <f aca="false">DEGREES( ACOS( COS( RADIANS(Z$63))  *  COS( RADIANS($B70))))</f>
        <v>90</v>
      </c>
      <c r="AA70" s="209" t="n">
        <f aca="false">DEGREES( ACOS( COS( RADIANS(AA$63))  *  COS( RADIANS($B70))))</f>
        <v>90</v>
      </c>
      <c r="AB70" s="209" t="n">
        <f aca="false">DEGREES( ACOS( COS( RADIANS(AB$63))  *  COS( RADIANS($B70))))</f>
        <v>90</v>
      </c>
      <c r="AC70" s="195" t="n">
        <f aca="false">DEGREES( ACOS( COS( RADIANS(AC$63))  *  COS( RADIANS($B70))))</f>
        <v>90</v>
      </c>
      <c r="AD70" s="195" t="n">
        <f aca="false">DEGREES( ACOS( COS( RADIANS(AD$63))  *  COS( RADIANS($B70))))</f>
        <v>90</v>
      </c>
      <c r="AE70" s="1"/>
      <c r="AF70" s="1"/>
      <c r="AG70" s="1"/>
      <c r="AH70" s="1"/>
      <c r="AI70" s="1"/>
      <c r="AJ70" s="1"/>
      <c r="AK70" s="1"/>
      <c r="AL70" s="1"/>
    </row>
    <row r="71" customFormat="false" ht="12.75" hidden="false" customHeight="true" outlineLevel="0" collapsed="false">
      <c r="A71" s="192" t="n">
        <f aca="false">RADIANS(MOD(B71-180,-360)+180)</f>
        <v>1.83259571459405</v>
      </c>
      <c r="B71" s="182" t="n">
        <v>105</v>
      </c>
      <c r="C71" s="1"/>
      <c r="D71" s="209" t="n">
        <f aca="false">DEGREES( ACOS( COS( RADIANS(D$63))  *  COS( RADIANS($B71))))</f>
        <v>104.999999997662</v>
      </c>
      <c r="E71" s="210" t="n">
        <f aca="false">DEGREES( ACOS( COS( RADIANS(E$63))  *  COS( RADIANS($B71))))</f>
        <v>104.47751218593</v>
      </c>
      <c r="F71" s="210" t="n">
        <f aca="false">DEGREES( ACOS( COS( RADIANS(F$63))  *  COS( RADIANS($B71))))</f>
        <v>102.952539642222</v>
      </c>
      <c r="G71" s="210" t="n">
        <f aca="false">DEGREES( ACOS( COS( RADIANS(G$63))  *  COS( RADIANS($B71))))</f>
        <v>100.5452905895</v>
      </c>
      <c r="H71" s="210" t="n">
        <f aca="false">DEGREES( ACOS( COS( RADIANS(H$63))  *  COS( RADIANS($B71))))</f>
        <v>97.4354722261319</v>
      </c>
      <c r="I71" s="210" t="n">
        <f aca="false">DEGREES( ACOS( COS( RADIANS(I$63))  *  COS( RADIANS($B71))))</f>
        <v>93.8409657162582</v>
      </c>
      <c r="J71" s="209" t="n">
        <f aca="false">DEGREES( ACOS( COS( RADIANS(J$63))  *  COS( RADIANS($B71))))</f>
        <v>90</v>
      </c>
      <c r="K71" s="210" t="n">
        <f aca="false">DEGREES( ACOS( COS( RADIANS(K$63))  *  COS( RADIANS($B71))))</f>
        <v>86.1590342837419</v>
      </c>
      <c r="L71" s="210" t="n">
        <f aca="false">DEGREES( ACOS( COS( RADIANS(L$63))  *  COS( RADIANS($B71))))</f>
        <v>82.5645277738682</v>
      </c>
      <c r="M71" s="210" t="n">
        <f aca="false">DEGREES( ACOS( COS( RADIANS(M$63))  *  COS( RADIANS($B71))))</f>
        <v>79.4547094105004</v>
      </c>
      <c r="N71" s="210" t="n">
        <f aca="false">DEGREES( ACOS( COS( RADIANS(N$63))  *  COS( RADIANS($B71))))</f>
        <v>77.0474603577776</v>
      </c>
      <c r="O71" s="210" t="n">
        <f aca="false">DEGREES( ACOS( COS( RADIANS(O$63))  *  COS( RADIANS($B71))))</f>
        <v>75.5224878140701</v>
      </c>
      <c r="P71" s="209" t="n">
        <f aca="false">DEGREES( ACOS( COS( RADIANS(P$63))  *  COS( RADIANS($B71))))</f>
        <v>75</v>
      </c>
      <c r="Q71" s="210" t="n">
        <f aca="false">DEGREES( ACOS( COS( RADIANS(Q$63))  *  COS( RADIANS($B71))))</f>
        <v>75.5224878140701</v>
      </c>
      <c r="R71" s="210" t="n">
        <f aca="false">DEGREES( ACOS( COS( RADIANS(R$63))  *  COS( RADIANS($B71))))</f>
        <v>77.0474603577776</v>
      </c>
      <c r="S71" s="210" t="n">
        <f aca="false">DEGREES( ACOS( COS( RADIANS(S$63))  *  COS( RADIANS($B71))))</f>
        <v>79.4547094105004</v>
      </c>
      <c r="T71" s="210" t="n">
        <f aca="false">DEGREES( ACOS( COS( RADIANS(T$63))  *  COS( RADIANS($B71))))</f>
        <v>82.5645277738682</v>
      </c>
      <c r="U71" s="210" t="n">
        <f aca="false">DEGREES( ACOS( COS( RADIANS(U$63))  *  COS( RADIANS($B71))))</f>
        <v>86.1590342837419</v>
      </c>
      <c r="V71" s="209" t="n">
        <f aca="false">DEGREES( ACOS( COS( RADIANS(V$63))  *  COS( RADIANS($B71))))</f>
        <v>90</v>
      </c>
      <c r="W71" s="210" t="n">
        <f aca="false">DEGREES( ACOS( COS( RADIANS(W$63))  *  COS( RADIANS($B71))))</f>
        <v>93.8409657162582</v>
      </c>
      <c r="X71" s="210" t="n">
        <f aca="false">DEGREES( ACOS( COS( RADIANS(X$63))  *  COS( RADIANS($B71))))</f>
        <v>97.4354722261319</v>
      </c>
      <c r="Y71" s="210" t="n">
        <f aca="false">DEGREES( ACOS( COS( RADIANS(Y$63))  *  COS( RADIANS($B71))))</f>
        <v>100.5452905895</v>
      </c>
      <c r="Z71" s="210" t="n">
        <f aca="false">DEGREES( ACOS( COS( RADIANS(Z$63))  *  COS( RADIANS($B71))))</f>
        <v>102.952539642222</v>
      </c>
      <c r="AA71" s="210" t="n">
        <f aca="false">DEGREES( ACOS( COS( RADIANS(AA$63))  *  COS( RADIANS($B71))))</f>
        <v>104.47751218593</v>
      </c>
      <c r="AB71" s="209" t="n">
        <f aca="false">DEGREES( ACOS( COS( RADIANS(AB$63))  *  COS( RADIANS($B71))))</f>
        <v>104.99999976617</v>
      </c>
      <c r="AC71" s="195" t="n">
        <f aca="false">DEGREES( ACOS( COS( RADIANS(AC$63))  *  COS( RADIANS($B71))))</f>
        <v>105</v>
      </c>
      <c r="AD71" s="195" t="n">
        <f aca="false">DEGREES( ACOS( COS( RADIANS(AD$63))  *  COS( RADIANS($B71))))</f>
        <v>105</v>
      </c>
      <c r="AE71" s="1"/>
      <c r="AF71" s="1"/>
      <c r="AG71" s="1"/>
      <c r="AH71" s="1"/>
      <c r="AI71" s="1"/>
      <c r="AJ71" s="1"/>
      <c r="AK71" s="1"/>
      <c r="AL71" s="1"/>
    </row>
    <row r="72" customFormat="false" ht="12.75" hidden="false" customHeight="true" outlineLevel="0" collapsed="false">
      <c r="A72" s="192" t="n">
        <f aca="false">RADIANS(MOD(B72-180,-360)+180)</f>
        <v>2.0943951023932</v>
      </c>
      <c r="B72" s="182" t="n">
        <v>120</v>
      </c>
      <c r="C72" s="1"/>
      <c r="D72" s="209" t="n">
        <f aca="false">DEGREES( ACOS( COS( RADIANS(D$63))  *  COS( RADIANS($B72))))</f>
        <v>119.999999994962</v>
      </c>
      <c r="E72" s="210" t="n">
        <f aca="false">DEGREES( ACOS( COS( RADIANS(E$63))  *  COS( RADIANS($B72))))</f>
        <v>118.879094017428</v>
      </c>
      <c r="F72" s="210" t="n">
        <f aca="false">DEGREES( ACOS( COS( RADIANS(F$63))  *  COS( RADIANS($B72))))</f>
        <v>115.658906273255</v>
      </c>
      <c r="G72" s="210" t="n">
        <f aca="false">DEGREES( ACOS( COS( RADIANS(G$63))  *  COS( RADIANS($B72))))</f>
        <v>110.704811054635</v>
      </c>
      <c r="H72" s="210" t="n">
        <f aca="false">DEGREES( ACOS( COS( RADIANS(H$63))  *  COS( RADIANS($B72))))</f>
        <v>104.47751218593</v>
      </c>
      <c r="I72" s="210" t="n">
        <f aca="false">DEGREES( ACOS( COS( RADIANS(I$63))  *  COS( RADIANS($B72))))</f>
        <v>97.4354722261319</v>
      </c>
      <c r="J72" s="209" t="n">
        <f aca="false">DEGREES( ACOS( COS( RADIANS(J$63))  *  COS( RADIANS($B72))))</f>
        <v>90</v>
      </c>
      <c r="K72" s="210" t="n">
        <f aca="false">DEGREES( ACOS( COS( RADIANS(K$63))  *  COS( RADIANS($B72))))</f>
        <v>82.5645277738682</v>
      </c>
      <c r="L72" s="210" t="n">
        <f aca="false">DEGREES( ACOS( COS( RADIANS(L$63))  *  COS( RADIANS($B72))))</f>
        <v>75.5224878140701</v>
      </c>
      <c r="M72" s="210" t="n">
        <f aca="false">DEGREES( ACOS( COS( RADIANS(M$63))  *  COS( RADIANS($B72))))</f>
        <v>69.2951889453646</v>
      </c>
      <c r="N72" s="210" t="n">
        <f aca="false">DEGREES( ACOS( COS( RADIANS(N$63))  *  COS( RADIANS($B72))))</f>
        <v>64.3410937267447</v>
      </c>
      <c r="O72" s="210" t="n">
        <f aca="false">DEGREES( ACOS( COS( RADIANS(O$63))  *  COS( RADIANS($B72))))</f>
        <v>61.1209059825724</v>
      </c>
      <c r="P72" s="209" t="n">
        <f aca="false">DEGREES( ACOS( COS( RADIANS(P$63))  *  COS( RADIANS($B72))))</f>
        <v>60</v>
      </c>
      <c r="Q72" s="210" t="n">
        <f aca="false">DEGREES( ACOS( COS( RADIANS(Q$63))  *  COS( RADIANS($B72))))</f>
        <v>61.1209059825724</v>
      </c>
      <c r="R72" s="210" t="n">
        <f aca="false">DEGREES( ACOS( COS( RADIANS(R$63))  *  COS( RADIANS($B72))))</f>
        <v>64.3410937267447</v>
      </c>
      <c r="S72" s="210" t="n">
        <f aca="false">DEGREES( ACOS( COS( RADIANS(S$63))  *  COS( RADIANS($B72))))</f>
        <v>69.2951889453646</v>
      </c>
      <c r="T72" s="210" t="n">
        <f aca="false">DEGREES( ACOS( COS( RADIANS(T$63))  *  COS( RADIANS($B72))))</f>
        <v>75.5224878140701</v>
      </c>
      <c r="U72" s="210" t="n">
        <f aca="false">DEGREES( ACOS( COS( RADIANS(U$63))  *  COS( RADIANS($B72))))</f>
        <v>82.5645277738682</v>
      </c>
      <c r="V72" s="209" t="n">
        <f aca="false">DEGREES( ACOS( COS( RADIANS(V$63))  *  COS( RADIANS($B72))))</f>
        <v>90</v>
      </c>
      <c r="W72" s="210" t="n">
        <f aca="false">DEGREES( ACOS( COS( RADIANS(W$63))  *  COS( RADIANS($B72))))</f>
        <v>97.4354722261319</v>
      </c>
      <c r="X72" s="210" t="n">
        <f aca="false">DEGREES( ACOS( COS( RADIANS(X$63))  *  COS( RADIANS($B72))))</f>
        <v>104.47751218593</v>
      </c>
      <c r="Y72" s="210" t="n">
        <f aca="false">DEGREES( ACOS( COS( RADIANS(Y$63))  *  COS( RADIANS($B72))))</f>
        <v>110.704811054635</v>
      </c>
      <c r="Z72" s="210" t="n">
        <f aca="false">DEGREES( ACOS( COS( RADIANS(Z$63))  *  COS( RADIANS($B72))))</f>
        <v>115.658906273255</v>
      </c>
      <c r="AA72" s="210" t="n">
        <f aca="false">DEGREES( ACOS( COS( RADIANS(AA$63))  *  COS( RADIANS($B72))))</f>
        <v>118.879094017428</v>
      </c>
      <c r="AB72" s="209" t="n">
        <f aca="false">DEGREES( ACOS( COS( RADIANS(AB$63))  *  COS( RADIANS($B72))))</f>
        <v>119.999999496167</v>
      </c>
      <c r="AC72" s="195" t="n">
        <f aca="false">DEGREES( ACOS( COS( RADIANS(AC$63))  *  COS( RADIANS($B72))))</f>
        <v>120</v>
      </c>
      <c r="AD72" s="195" t="n">
        <f aca="false">DEGREES( ACOS( COS( RADIANS(AD$63))  *  COS( RADIANS($B72))))</f>
        <v>120</v>
      </c>
      <c r="AE72" s="1"/>
      <c r="AF72" s="1"/>
      <c r="AG72" s="1"/>
      <c r="AH72" s="1"/>
      <c r="AI72" s="1"/>
      <c r="AJ72" s="1"/>
      <c r="AK72" s="1"/>
      <c r="AL72" s="1"/>
    </row>
    <row r="73" customFormat="false" ht="12.75" hidden="false" customHeight="true" outlineLevel="0" collapsed="false">
      <c r="A73" s="192" t="n">
        <f aca="false">RADIANS(MOD(B73-180,-360)+180)</f>
        <v>2.35619449019234</v>
      </c>
      <c r="B73" s="182" t="n">
        <v>135</v>
      </c>
      <c r="C73" s="1"/>
      <c r="D73" s="209" t="n">
        <f aca="false">DEGREES( ACOS( COS( RADIANS(D$63))  *  COS( RADIANS($B73))))</f>
        <v>134.999999991273</v>
      </c>
      <c r="E73" s="210" t="n">
        <f aca="false">DEGREES( ACOS( COS( RADIANS(E$63))  *  COS( RADIANS($B73))))</f>
        <v>133.079517141871</v>
      </c>
      <c r="F73" s="210" t="n">
        <f aca="false">DEGREES( ACOS( COS( RADIANS(F$63))  *  COS( RADIANS($B73))))</f>
        <v>127.761243907035</v>
      </c>
      <c r="G73" s="210" t="n">
        <f aca="false">DEGREES( ACOS( COS( RADIANS(G$63))  *  COS( RADIANS($B73))))</f>
        <v>120</v>
      </c>
      <c r="H73" s="210" t="n">
        <f aca="false">DEGREES( ACOS( COS( RADIANS(H$63))  *  COS( RADIANS($B73))))</f>
        <v>110.704811054635</v>
      </c>
      <c r="I73" s="210" t="n">
        <f aca="false">DEGREES( ACOS( COS( RADIANS(I$63))  *  COS( RADIANS($B73))))</f>
        <v>100.5452905895</v>
      </c>
      <c r="J73" s="209" t="n">
        <f aca="false">DEGREES( ACOS( COS( RADIANS(J$63))  *  COS( RADIANS($B73))))</f>
        <v>90</v>
      </c>
      <c r="K73" s="210" t="n">
        <f aca="false">DEGREES( ACOS( COS( RADIANS(K$63))  *  COS( RADIANS($B73))))</f>
        <v>79.4547094105004</v>
      </c>
      <c r="L73" s="210" t="n">
        <f aca="false">DEGREES( ACOS( COS( RADIANS(L$63))  *  COS( RADIANS($B73))))</f>
        <v>69.2951889453646</v>
      </c>
      <c r="M73" s="210" t="n">
        <f aca="false">DEGREES( ACOS( COS( RADIANS(M$63))  *  COS( RADIANS($B73))))</f>
        <v>60</v>
      </c>
      <c r="N73" s="210" t="n">
        <f aca="false">DEGREES( ACOS( COS( RADIANS(N$63))  *  COS( RADIANS($B73))))</f>
        <v>52.238756092965</v>
      </c>
      <c r="O73" s="210" t="n">
        <f aca="false">DEGREES( ACOS( COS( RADIANS(O$63))  *  COS( RADIANS($B73))))</f>
        <v>46.9204828581291</v>
      </c>
      <c r="P73" s="209" t="n">
        <f aca="false">DEGREES( ACOS( COS( RADIANS(P$63))  *  COS( RADIANS($B73))))</f>
        <v>45</v>
      </c>
      <c r="Q73" s="210" t="n">
        <f aca="false">DEGREES( ACOS( COS( RADIANS(Q$63))  *  COS( RADIANS($B73))))</f>
        <v>46.9204828581291</v>
      </c>
      <c r="R73" s="210" t="n">
        <f aca="false">DEGREES( ACOS( COS( RADIANS(R$63))  *  COS( RADIANS($B73))))</f>
        <v>52.238756092965</v>
      </c>
      <c r="S73" s="210" t="n">
        <f aca="false">DEGREES( ACOS( COS( RADIANS(S$63))  *  COS( RADIANS($B73))))</f>
        <v>60</v>
      </c>
      <c r="T73" s="210" t="n">
        <f aca="false">DEGREES( ACOS( COS( RADIANS(T$63))  *  COS( RADIANS($B73))))</f>
        <v>69.2951889453646</v>
      </c>
      <c r="U73" s="210" t="n">
        <f aca="false">DEGREES( ACOS( COS( RADIANS(U$63))  *  COS( RADIANS($B73))))</f>
        <v>79.4547094105004</v>
      </c>
      <c r="V73" s="209" t="n">
        <f aca="false">DEGREES( ACOS( COS( RADIANS(V$63))  *  COS( RADIANS($B73))))</f>
        <v>90</v>
      </c>
      <c r="W73" s="210" t="n">
        <f aca="false">DEGREES( ACOS( COS( RADIANS(W$63))  *  COS( RADIANS($B73))))</f>
        <v>100.5452905895</v>
      </c>
      <c r="X73" s="210" t="n">
        <f aca="false">DEGREES( ACOS( COS( RADIANS(X$63))  *  COS( RADIANS($B73))))</f>
        <v>110.704811054635</v>
      </c>
      <c r="Y73" s="210" t="n">
        <f aca="false">DEGREES( ACOS( COS( RADIANS(Y$63))  *  COS( RADIANS($B73))))</f>
        <v>120</v>
      </c>
      <c r="Z73" s="210" t="n">
        <f aca="false">DEGREES( ACOS( COS( RADIANS(Z$63))  *  COS( RADIANS($B73))))</f>
        <v>127.761243907035</v>
      </c>
      <c r="AA73" s="210" t="n">
        <f aca="false">DEGREES( ACOS( COS( RADIANS(AA$63))  *  COS( RADIANS($B73))))</f>
        <v>133.079517141871</v>
      </c>
      <c r="AB73" s="209" t="n">
        <f aca="false">DEGREES( ACOS( COS( RADIANS(AB$63))  *  COS( RADIANS($B73))))</f>
        <v>134.999999127335</v>
      </c>
      <c r="AC73" s="195" t="n">
        <f aca="false">DEGREES( ACOS( COS( RADIANS(AC$63))  *  COS( RADIANS($B73))))</f>
        <v>135</v>
      </c>
      <c r="AD73" s="195" t="n">
        <f aca="false">DEGREES( ACOS( COS( RADIANS(AD$63))  *  COS( RADIANS($B73))))</f>
        <v>135</v>
      </c>
      <c r="AE73" s="1"/>
      <c r="AF73" s="1"/>
      <c r="AG73" s="1"/>
      <c r="AH73" s="1"/>
      <c r="AI73" s="1"/>
      <c r="AJ73" s="1"/>
      <c r="AK73" s="1"/>
      <c r="AL73" s="1"/>
    </row>
    <row r="74" customFormat="false" ht="12.75" hidden="false" customHeight="true" outlineLevel="0" collapsed="false">
      <c r="A74" s="192" t="n">
        <f aca="false">RADIANS(MOD(B74-180,-360)+180)</f>
        <v>2.61799387799149</v>
      </c>
      <c r="B74" s="182" t="n">
        <v>150</v>
      </c>
      <c r="C74" s="1"/>
      <c r="D74" s="209" t="n">
        <f aca="false">DEGREES( ACOS( COS( RADIANS(D$63))  *  COS( RADIANS($B74))))</f>
        <v>149.999999984885</v>
      </c>
      <c r="E74" s="210" t="n">
        <f aca="false">DEGREES( ACOS( COS( RADIANS(E$63))  *  COS( RADIANS($B74))))</f>
        <v>146.774057796712</v>
      </c>
      <c r="F74" s="210" t="n">
        <f aca="false">DEGREES( ACOS( COS( RADIANS(F$63))  *  COS( RADIANS($B74))))</f>
        <v>138.590377890729</v>
      </c>
      <c r="G74" s="210" t="n">
        <f aca="false">DEGREES( ACOS( COS( RADIANS(G$63))  *  COS( RADIANS($B74))))</f>
        <v>127.761243907035</v>
      </c>
      <c r="H74" s="210" t="n">
        <f aca="false">DEGREES( ACOS( COS( RADIANS(H$63))  *  COS( RADIANS($B74))))</f>
        <v>115.658906273255</v>
      </c>
      <c r="I74" s="210" t="n">
        <f aca="false">DEGREES( ACOS( COS( RADIANS(I$63))  *  COS( RADIANS($B74))))</f>
        <v>102.952539642222</v>
      </c>
      <c r="J74" s="209" t="n">
        <f aca="false">DEGREES( ACOS( COS( RADIANS(J$63))  *  COS( RADIANS($B74))))</f>
        <v>90</v>
      </c>
      <c r="K74" s="210" t="n">
        <f aca="false">DEGREES( ACOS( COS( RADIANS(K$63))  *  COS( RADIANS($B74))))</f>
        <v>77.0474603577776</v>
      </c>
      <c r="L74" s="210" t="n">
        <f aca="false">DEGREES( ACOS( COS( RADIANS(L$63))  *  COS( RADIANS($B74))))</f>
        <v>64.3410937267447</v>
      </c>
      <c r="M74" s="210" t="n">
        <f aca="false">DEGREES( ACOS( COS( RADIANS(M$63))  *  COS( RADIANS($B74))))</f>
        <v>52.238756092965</v>
      </c>
      <c r="N74" s="210" t="n">
        <f aca="false">DEGREES( ACOS( COS( RADIANS(N$63))  *  COS( RADIANS($B74))))</f>
        <v>41.4096221092709</v>
      </c>
      <c r="O74" s="210" t="n">
        <f aca="false">DEGREES( ACOS( COS( RADIANS(O$63))  *  COS( RADIANS($B74))))</f>
        <v>33.2259422032876</v>
      </c>
      <c r="P74" s="209" t="n">
        <f aca="false">DEGREES( ACOS( COS( RADIANS(P$63))  *  COS( RADIANS($B74))))</f>
        <v>30</v>
      </c>
      <c r="Q74" s="210" t="n">
        <f aca="false">DEGREES( ACOS( COS( RADIANS(Q$63))  *  COS( RADIANS($B74))))</f>
        <v>33.2259422032876</v>
      </c>
      <c r="R74" s="210" t="n">
        <f aca="false">DEGREES( ACOS( COS( RADIANS(R$63))  *  COS( RADIANS($B74))))</f>
        <v>41.4096221092709</v>
      </c>
      <c r="S74" s="210" t="n">
        <f aca="false">DEGREES( ACOS( COS( RADIANS(S$63))  *  COS( RADIANS($B74))))</f>
        <v>52.238756092965</v>
      </c>
      <c r="T74" s="210" t="n">
        <f aca="false">DEGREES( ACOS( COS( RADIANS(T$63))  *  COS( RADIANS($B74))))</f>
        <v>64.3410937267447</v>
      </c>
      <c r="U74" s="210" t="n">
        <f aca="false">DEGREES( ACOS( COS( RADIANS(U$63))  *  COS( RADIANS($B74))))</f>
        <v>77.0474603577776</v>
      </c>
      <c r="V74" s="209" t="n">
        <f aca="false">DEGREES( ACOS( COS( RADIANS(V$63))  *  COS( RADIANS($B74))))</f>
        <v>90</v>
      </c>
      <c r="W74" s="210" t="n">
        <f aca="false">DEGREES( ACOS( COS( RADIANS(W$63))  *  COS( RADIANS($B74))))</f>
        <v>102.952539642222</v>
      </c>
      <c r="X74" s="210" t="n">
        <f aca="false">DEGREES( ACOS( COS( RADIANS(X$63))  *  COS( RADIANS($B74))))</f>
        <v>115.658906273255</v>
      </c>
      <c r="Y74" s="210" t="n">
        <f aca="false">DEGREES( ACOS( COS( RADIANS(Y$63))  *  COS( RADIANS($B74))))</f>
        <v>127.761243907035</v>
      </c>
      <c r="Z74" s="210" t="n">
        <f aca="false">DEGREES( ACOS( COS( RADIANS(Z$63))  *  COS( RADIANS($B74))))</f>
        <v>138.590377890729</v>
      </c>
      <c r="AA74" s="210" t="n">
        <f aca="false">DEGREES( ACOS( COS( RADIANS(AA$63))  *  COS( RADIANS($B74))))</f>
        <v>146.774057796712</v>
      </c>
      <c r="AB74" s="209" t="n">
        <f aca="false">DEGREES( ACOS( COS( RADIANS(AB$63))  *  COS( RADIANS($B74))))</f>
        <v>149.999998488501</v>
      </c>
      <c r="AC74" s="195" t="n">
        <f aca="false">DEGREES( ACOS( COS( RADIANS(AC$63))  *  COS( RADIANS($B74))))</f>
        <v>150</v>
      </c>
      <c r="AD74" s="195" t="n">
        <f aca="false">DEGREES( ACOS( COS( RADIANS(AD$63))  *  COS( RADIANS($B74))))</f>
        <v>150</v>
      </c>
      <c r="AE74" s="1"/>
      <c r="AF74" s="1"/>
      <c r="AG74" s="1"/>
      <c r="AH74" s="1"/>
      <c r="AI74" s="1"/>
      <c r="AJ74" s="1"/>
      <c r="AK74" s="1"/>
      <c r="AL74" s="1"/>
    </row>
    <row r="75" customFormat="false" ht="12.75" hidden="false" customHeight="true" outlineLevel="0" collapsed="false">
      <c r="A75" s="192" t="n">
        <f aca="false">RADIANS(MOD(B75-180,-360)+180)</f>
        <v>2.87979326579064</v>
      </c>
      <c r="B75" s="182" t="n">
        <v>165</v>
      </c>
      <c r="C75" s="1"/>
      <c r="D75" s="209" t="n">
        <f aca="false">DEGREES( ACOS( COS( RADIANS(D$63))  *  COS( RADIANS($B75))))</f>
        <v>164.999999967432</v>
      </c>
      <c r="E75" s="210" t="n">
        <f aca="false">DEGREES( ACOS( COS( RADIANS(E$63))  *  COS( RADIANS($B75))))</f>
        <v>158.909418821001</v>
      </c>
      <c r="F75" s="210" t="n">
        <f aca="false">DEGREES( ACOS( COS( RADIANS(F$63))  *  COS( RADIANS($B75))))</f>
        <v>146.774057796712</v>
      </c>
      <c r="G75" s="210" t="n">
        <f aca="false">DEGREES( ACOS( COS( RADIANS(G$63))  *  COS( RADIANS($B75))))</f>
        <v>133.079517141871</v>
      </c>
      <c r="H75" s="210" t="n">
        <f aca="false">DEGREES( ACOS( COS( RADIANS(H$63))  *  COS( RADIANS($B75))))</f>
        <v>118.879094017428</v>
      </c>
      <c r="I75" s="210" t="n">
        <f aca="false">DEGREES( ACOS( COS( RADIANS(I$63))  *  COS( RADIANS($B75))))</f>
        <v>104.47751218593</v>
      </c>
      <c r="J75" s="209" t="n">
        <f aca="false">DEGREES( ACOS( COS( RADIANS(J$63))  *  COS( RADIANS($B75))))</f>
        <v>90</v>
      </c>
      <c r="K75" s="210" t="n">
        <f aca="false">DEGREES( ACOS( COS( RADIANS(K$63))  *  COS( RADIANS($B75))))</f>
        <v>75.5224878140701</v>
      </c>
      <c r="L75" s="210" t="n">
        <f aca="false">DEGREES( ACOS( COS( RADIANS(L$63))  *  COS( RADIANS($B75))))</f>
        <v>61.1209059825724</v>
      </c>
      <c r="M75" s="210" t="n">
        <f aca="false">DEGREES( ACOS( COS( RADIANS(M$63))  *  COS( RADIANS($B75))))</f>
        <v>46.9204828581291</v>
      </c>
      <c r="N75" s="210" t="n">
        <f aca="false">DEGREES( ACOS( COS( RADIANS(N$63))  *  COS( RADIANS($B75))))</f>
        <v>33.2259422032876</v>
      </c>
      <c r="O75" s="210" t="n">
        <f aca="false">DEGREES( ACOS( COS( RADIANS(O$63))  *  COS( RADIANS($B75))))</f>
        <v>21.0905811789991</v>
      </c>
      <c r="P75" s="209" t="n">
        <f aca="false">DEGREES( ACOS( COS( RADIANS(P$63))  *  COS( RADIANS($B75))))</f>
        <v>15</v>
      </c>
      <c r="Q75" s="210" t="n">
        <f aca="false">DEGREES( ACOS( COS( RADIANS(Q$63))  *  COS( RADIANS($B75))))</f>
        <v>21.0905811789991</v>
      </c>
      <c r="R75" s="210" t="n">
        <f aca="false">DEGREES( ACOS( COS( RADIANS(R$63))  *  COS( RADIANS($B75))))</f>
        <v>33.2259422032876</v>
      </c>
      <c r="S75" s="210" t="n">
        <f aca="false">DEGREES( ACOS( COS( RADIANS(S$63))  *  COS( RADIANS($B75))))</f>
        <v>46.9204828581291</v>
      </c>
      <c r="T75" s="210" t="n">
        <f aca="false">DEGREES( ACOS( COS( RADIANS(T$63))  *  COS( RADIANS($B75))))</f>
        <v>61.1209059825724</v>
      </c>
      <c r="U75" s="210" t="n">
        <f aca="false">DEGREES( ACOS( COS( RADIANS(U$63))  *  COS( RADIANS($B75))))</f>
        <v>75.5224878140701</v>
      </c>
      <c r="V75" s="209" t="n">
        <f aca="false">DEGREES( ACOS( COS( RADIANS(V$63))  *  COS( RADIANS($B75))))</f>
        <v>90</v>
      </c>
      <c r="W75" s="210" t="n">
        <f aca="false">DEGREES( ACOS( COS( RADIANS(W$63))  *  COS( RADIANS($B75))))</f>
        <v>104.47751218593</v>
      </c>
      <c r="X75" s="210" t="n">
        <f aca="false">DEGREES( ACOS( COS( RADIANS(X$63))  *  COS( RADIANS($B75))))</f>
        <v>118.879094017428</v>
      </c>
      <c r="Y75" s="210" t="n">
        <f aca="false">DEGREES( ACOS( COS( RADIANS(Y$63))  *  COS( RADIANS($B75))))</f>
        <v>133.079517141871</v>
      </c>
      <c r="Z75" s="210" t="n">
        <f aca="false">DEGREES( ACOS( COS( RADIANS(Z$63))  *  COS( RADIANS($B75))))</f>
        <v>146.774057796712</v>
      </c>
      <c r="AA75" s="210" t="n">
        <f aca="false">DEGREES( ACOS( COS( RADIANS(AA$63))  *  COS( RADIANS($B75))))</f>
        <v>158.909418821001</v>
      </c>
      <c r="AB75" s="209" t="n">
        <f aca="false">DEGREES( ACOS( COS( RADIANS(AB$63))  *  COS( RADIANS($B75))))</f>
        <v>164.999996743172</v>
      </c>
      <c r="AC75" s="195" t="n">
        <f aca="false">DEGREES( ACOS( COS( RADIANS(AC$63))  *  COS( RADIANS($B75))))</f>
        <v>165</v>
      </c>
      <c r="AD75" s="195" t="n">
        <f aca="false">DEGREES( ACOS( COS( RADIANS(AD$63))  *  COS( RADIANS($B75))))</f>
        <v>165</v>
      </c>
      <c r="AE75" s="1"/>
      <c r="AF75" s="1"/>
      <c r="AG75" s="1"/>
      <c r="AH75" s="1"/>
      <c r="AI75" s="1"/>
      <c r="AJ75" s="1"/>
      <c r="AK75" s="1"/>
      <c r="AL75" s="1"/>
    </row>
    <row r="76" customFormat="false" ht="12.75" hidden="false" customHeight="true" outlineLevel="0" collapsed="false">
      <c r="A76" s="192" t="n">
        <f aca="false">RADIANS(MOD(B76-180,-360)+180)</f>
        <v>3.14159265358979</v>
      </c>
      <c r="B76" s="182" t="n">
        <v>180</v>
      </c>
      <c r="C76" s="1"/>
      <c r="D76" s="209" t="n">
        <f aca="false">DEGREES( ACOS( COS( RADIANS(D$63))  *  COS( RADIANS($B76))))</f>
        <v>179.998999999963</v>
      </c>
      <c r="E76" s="209" t="n">
        <f aca="false">DEGREES( ACOS( COS( RADIANS(E$63))  *  COS( RADIANS($B76))))</f>
        <v>165</v>
      </c>
      <c r="F76" s="209" t="n">
        <f aca="false">DEGREES( ACOS( COS( RADIANS(F$63))  *  COS( RADIANS($B76))))</f>
        <v>150</v>
      </c>
      <c r="G76" s="209" t="n">
        <f aca="false">DEGREES( ACOS( COS( RADIANS(G$63))  *  COS( RADIANS($B76))))</f>
        <v>135</v>
      </c>
      <c r="H76" s="209" t="n">
        <f aca="false">DEGREES( ACOS( COS( RADIANS(H$63))  *  COS( RADIANS($B76))))</f>
        <v>120</v>
      </c>
      <c r="I76" s="209" t="n">
        <f aca="false">DEGREES( ACOS( COS( RADIANS(I$63))  *  COS( RADIANS($B76))))</f>
        <v>105</v>
      </c>
      <c r="J76" s="209" t="n">
        <f aca="false">DEGREES( ACOS( COS( RADIANS(J$63))  *  COS( RADIANS($B76))))</f>
        <v>90</v>
      </c>
      <c r="K76" s="209" t="n">
        <f aca="false">DEGREES( ACOS( COS( RADIANS(K$63))  *  COS( RADIANS($B76))))</f>
        <v>75</v>
      </c>
      <c r="L76" s="209" t="n">
        <f aca="false">DEGREES( ACOS( COS( RADIANS(L$63))  *  COS( RADIANS($B76))))</f>
        <v>60</v>
      </c>
      <c r="M76" s="209" t="n">
        <f aca="false">DEGREES( ACOS( COS( RADIANS(M$63))  *  COS( RADIANS($B76))))</f>
        <v>45</v>
      </c>
      <c r="N76" s="209" t="n">
        <f aca="false">DEGREES( ACOS( COS( RADIANS(N$63))  *  COS( RADIANS($B76))))</f>
        <v>30</v>
      </c>
      <c r="O76" s="209" t="n">
        <f aca="false">DEGREES( ACOS( COS( RADIANS(O$63))  *  COS( RADIANS($B76))))</f>
        <v>15</v>
      </c>
      <c r="P76" s="209" t="n">
        <f aca="false">DEGREES( ACOS( COS( RADIANS(P$63))  *  COS( RADIANS($B76))))</f>
        <v>0</v>
      </c>
      <c r="Q76" s="209" t="n">
        <f aca="false">DEGREES( ACOS( COS( RADIANS(Q$63))  *  COS( RADIANS($B76))))</f>
        <v>15</v>
      </c>
      <c r="R76" s="209" t="n">
        <f aca="false">DEGREES( ACOS( COS( RADIANS(R$63))  *  COS( RADIANS($B76))))</f>
        <v>30</v>
      </c>
      <c r="S76" s="209" t="n">
        <f aca="false">DEGREES( ACOS( COS( RADIANS(S$63))  *  COS( RADIANS($B76))))</f>
        <v>45</v>
      </c>
      <c r="T76" s="209" t="n">
        <f aca="false">DEGREES( ACOS( COS( RADIANS(T$63))  *  COS( RADIANS($B76))))</f>
        <v>60</v>
      </c>
      <c r="U76" s="209" t="n">
        <f aca="false">DEGREES( ACOS( COS( RADIANS(U$63))  *  COS( RADIANS($B76))))</f>
        <v>75</v>
      </c>
      <c r="V76" s="209" t="n">
        <f aca="false">DEGREES( ACOS( COS( RADIANS(V$63))  *  COS( RADIANS($B76))))</f>
        <v>90</v>
      </c>
      <c r="W76" s="209" t="n">
        <f aca="false">DEGREES( ACOS( COS( RADIANS(W$63))  *  COS( RADIANS($B76))))</f>
        <v>105</v>
      </c>
      <c r="X76" s="209" t="n">
        <f aca="false">DEGREES( ACOS( COS( RADIANS(X$63))  *  COS( RADIANS($B76))))</f>
        <v>120</v>
      </c>
      <c r="Y76" s="209" t="n">
        <f aca="false">DEGREES( ACOS( COS( RADIANS(Y$63))  *  COS( RADIANS($B76))))</f>
        <v>135</v>
      </c>
      <c r="Z76" s="209" t="n">
        <f aca="false">DEGREES( ACOS( COS( RADIANS(Z$63))  *  COS( RADIANS($B76))))</f>
        <v>150</v>
      </c>
      <c r="AA76" s="209" t="n">
        <f aca="false">DEGREES( ACOS( COS( RADIANS(AA$63))  *  COS( RADIANS($B76))))</f>
        <v>165</v>
      </c>
      <c r="AB76" s="209" t="n">
        <f aca="false">DEGREES( ACOS( COS( RADIANS(AB$63))  *  COS( RADIANS($B76))))</f>
        <v>179.990000000017</v>
      </c>
      <c r="AC76" s="195" t="n">
        <f aca="false">DEGREES( ACOS( COS( RADIANS(AC$63))  *  COS( RADIANS($B76))))</f>
        <v>180</v>
      </c>
      <c r="AD76" s="195" t="n">
        <f aca="false">DEGREES( ACOS( COS( RADIANS(AD$63))  *  COS( RADIANS($B76))))</f>
        <v>180</v>
      </c>
      <c r="AE76" s="1"/>
      <c r="AF76" s="1"/>
      <c r="AG76" s="1"/>
      <c r="AH76" s="1"/>
      <c r="AI76" s="1"/>
      <c r="AJ76" s="1"/>
      <c r="AK76" s="1"/>
      <c r="AL76" s="1"/>
    </row>
    <row r="77" customFormat="false" ht="12.75" hidden="false" customHeight="true" outlineLevel="0" collapsed="false">
      <c r="A77" s="193" t="n">
        <f aca="false">RADIANS(MOD(B77-180,-360)+180)</f>
        <v>-2.87979326579064</v>
      </c>
      <c r="B77" s="182" t="n">
        <v>195</v>
      </c>
      <c r="C77" s="1"/>
      <c r="D77" s="209" t="n">
        <f aca="false">DEGREES( ACOS( COS( RADIANS(D$63))  *  COS( RADIANS($B77))))</f>
        <v>164.999999967432</v>
      </c>
      <c r="E77" s="210" t="n">
        <f aca="false">DEGREES( ACOS( COS( RADIANS(E$63))  *  COS( RADIANS($B77))))</f>
        <v>158.909418821001</v>
      </c>
      <c r="F77" s="210" t="n">
        <f aca="false">DEGREES( ACOS( COS( RADIANS(F$63))  *  COS( RADIANS($B77))))</f>
        <v>146.774057796712</v>
      </c>
      <c r="G77" s="210" t="n">
        <f aca="false">DEGREES( ACOS( COS( RADIANS(G$63))  *  COS( RADIANS($B77))))</f>
        <v>133.079517141871</v>
      </c>
      <c r="H77" s="210" t="n">
        <f aca="false">DEGREES( ACOS( COS( RADIANS(H$63))  *  COS( RADIANS($B77))))</f>
        <v>118.879094017428</v>
      </c>
      <c r="I77" s="210" t="n">
        <f aca="false">DEGREES( ACOS( COS( RADIANS(I$63))  *  COS( RADIANS($B77))))</f>
        <v>104.47751218593</v>
      </c>
      <c r="J77" s="209" t="n">
        <f aca="false">DEGREES( ACOS( COS( RADIANS(J$63))  *  COS( RADIANS($B77))))</f>
        <v>90</v>
      </c>
      <c r="K77" s="210" t="n">
        <f aca="false">DEGREES( ACOS( COS( RADIANS(K$63))  *  COS( RADIANS($B77))))</f>
        <v>75.5224878140701</v>
      </c>
      <c r="L77" s="210" t="n">
        <f aca="false">DEGREES( ACOS( COS( RADIANS(L$63))  *  COS( RADIANS($B77))))</f>
        <v>61.1209059825724</v>
      </c>
      <c r="M77" s="210" t="n">
        <f aca="false">DEGREES( ACOS( COS( RADIANS(M$63))  *  COS( RADIANS($B77))))</f>
        <v>46.9204828581291</v>
      </c>
      <c r="N77" s="210" t="n">
        <f aca="false">DEGREES( ACOS( COS( RADIANS(N$63))  *  COS( RADIANS($B77))))</f>
        <v>33.2259422032876</v>
      </c>
      <c r="O77" s="210" t="n">
        <f aca="false">DEGREES( ACOS( COS( RADIANS(O$63))  *  COS( RADIANS($B77))))</f>
        <v>21.0905811789991</v>
      </c>
      <c r="P77" s="209" t="n">
        <f aca="false">DEGREES( ACOS( COS( RADIANS(P$63))  *  COS( RADIANS($B77))))</f>
        <v>15</v>
      </c>
      <c r="Q77" s="210" t="n">
        <f aca="false">DEGREES( ACOS( COS( RADIANS(Q$63))  *  COS( RADIANS($B77))))</f>
        <v>21.0905811789991</v>
      </c>
      <c r="R77" s="210" t="n">
        <f aca="false">DEGREES( ACOS( COS( RADIANS(R$63))  *  COS( RADIANS($B77))))</f>
        <v>33.2259422032876</v>
      </c>
      <c r="S77" s="210" t="n">
        <f aca="false">DEGREES( ACOS( COS( RADIANS(S$63))  *  COS( RADIANS($B77))))</f>
        <v>46.9204828581291</v>
      </c>
      <c r="T77" s="210" t="n">
        <f aca="false">DEGREES( ACOS( COS( RADIANS(T$63))  *  COS( RADIANS($B77))))</f>
        <v>61.1209059825724</v>
      </c>
      <c r="U77" s="210" t="n">
        <f aca="false">DEGREES( ACOS( COS( RADIANS(U$63))  *  COS( RADIANS($B77))))</f>
        <v>75.5224878140701</v>
      </c>
      <c r="V77" s="209" t="n">
        <f aca="false">DEGREES( ACOS( COS( RADIANS(V$63))  *  COS( RADIANS($B77))))</f>
        <v>90</v>
      </c>
      <c r="W77" s="210" t="n">
        <f aca="false">DEGREES( ACOS( COS( RADIANS(W$63))  *  COS( RADIANS($B77))))</f>
        <v>104.47751218593</v>
      </c>
      <c r="X77" s="210" t="n">
        <f aca="false">DEGREES( ACOS( COS( RADIANS(X$63))  *  COS( RADIANS($B77))))</f>
        <v>118.879094017428</v>
      </c>
      <c r="Y77" s="210" t="n">
        <f aca="false">DEGREES( ACOS( COS( RADIANS(Y$63))  *  COS( RADIANS($B77))))</f>
        <v>133.079517141871</v>
      </c>
      <c r="Z77" s="210" t="n">
        <f aca="false">DEGREES( ACOS( COS( RADIANS(Z$63))  *  COS( RADIANS($B77))))</f>
        <v>146.774057796712</v>
      </c>
      <c r="AA77" s="210" t="n">
        <f aca="false">DEGREES( ACOS( COS( RADIANS(AA$63))  *  COS( RADIANS($B77))))</f>
        <v>158.909418821001</v>
      </c>
      <c r="AB77" s="209" t="n">
        <f aca="false">DEGREES( ACOS( COS( RADIANS(AB$63))  *  COS( RADIANS($B77))))</f>
        <v>164.999996743172</v>
      </c>
      <c r="AC77" s="195" t="n">
        <f aca="false">DEGREES( ACOS( COS( RADIANS(AC$63))  *  COS( RADIANS($B77))))</f>
        <v>165</v>
      </c>
      <c r="AD77" s="195" t="n">
        <f aca="false">DEGREES( ACOS( COS( RADIANS(AD$63))  *  COS( RADIANS($B77))))</f>
        <v>165</v>
      </c>
      <c r="AE77" s="1"/>
      <c r="AF77" s="1"/>
      <c r="AG77" s="1"/>
      <c r="AH77" s="1"/>
      <c r="AI77" s="1"/>
      <c r="AJ77" s="1"/>
      <c r="AK77" s="1"/>
      <c r="AL77" s="1"/>
    </row>
    <row r="78" customFormat="false" ht="12.75" hidden="false" customHeight="true" outlineLevel="0" collapsed="false">
      <c r="A78" s="193" t="n">
        <f aca="false">RADIANS(MOD(B78-180,-360)+180)</f>
        <v>-2.61799387799149</v>
      </c>
      <c r="B78" s="182" t="n">
        <v>210</v>
      </c>
      <c r="C78" s="1"/>
      <c r="D78" s="209" t="n">
        <f aca="false">DEGREES( ACOS( COS( RADIANS(D$63))  *  COS( RADIANS($B78))))</f>
        <v>149.999999984885</v>
      </c>
      <c r="E78" s="210" t="n">
        <f aca="false">DEGREES( ACOS( COS( RADIANS(E$63))  *  COS( RADIANS($B78))))</f>
        <v>146.774057796712</v>
      </c>
      <c r="F78" s="210" t="n">
        <f aca="false">DEGREES( ACOS( COS( RADIANS(F$63))  *  COS( RADIANS($B78))))</f>
        <v>138.590377890729</v>
      </c>
      <c r="G78" s="210" t="n">
        <f aca="false">DEGREES( ACOS( COS( RADIANS(G$63))  *  COS( RADIANS($B78))))</f>
        <v>127.761243907035</v>
      </c>
      <c r="H78" s="210" t="n">
        <f aca="false">DEGREES( ACOS( COS( RADIANS(H$63))  *  COS( RADIANS($B78))))</f>
        <v>115.658906273255</v>
      </c>
      <c r="I78" s="210" t="n">
        <f aca="false">DEGREES( ACOS( COS( RADIANS(I$63))  *  COS( RADIANS($B78))))</f>
        <v>102.952539642222</v>
      </c>
      <c r="J78" s="209" t="n">
        <f aca="false">DEGREES( ACOS( COS( RADIANS(J$63))  *  COS( RADIANS($B78))))</f>
        <v>90</v>
      </c>
      <c r="K78" s="210" t="n">
        <f aca="false">DEGREES( ACOS( COS( RADIANS(K$63))  *  COS( RADIANS($B78))))</f>
        <v>77.0474603577776</v>
      </c>
      <c r="L78" s="210" t="n">
        <f aca="false">DEGREES( ACOS( COS( RADIANS(L$63))  *  COS( RADIANS($B78))))</f>
        <v>64.3410937267447</v>
      </c>
      <c r="M78" s="210" t="n">
        <f aca="false">DEGREES( ACOS( COS( RADIANS(M$63))  *  COS( RADIANS($B78))))</f>
        <v>52.238756092965</v>
      </c>
      <c r="N78" s="210" t="n">
        <f aca="false">DEGREES( ACOS( COS( RADIANS(N$63))  *  COS( RADIANS($B78))))</f>
        <v>41.4096221092709</v>
      </c>
      <c r="O78" s="210" t="n">
        <f aca="false">DEGREES( ACOS( COS( RADIANS(O$63))  *  COS( RADIANS($B78))))</f>
        <v>33.2259422032876</v>
      </c>
      <c r="P78" s="209" t="n">
        <f aca="false">DEGREES( ACOS( COS( RADIANS(P$63))  *  COS( RADIANS($B78))))</f>
        <v>30</v>
      </c>
      <c r="Q78" s="210" t="n">
        <f aca="false">DEGREES( ACOS( COS( RADIANS(Q$63))  *  COS( RADIANS($B78))))</f>
        <v>33.2259422032876</v>
      </c>
      <c r="R78" s="210" t="n">
        <f aca="false">DEGREES( ACOS( COS( RADIANS(R$63))  *  COS( RADIANS($B78))))</f>
        <v>41.4096221092709</v>
      </c>
      <c r="S78" s="210" t="n">
        <f aca="false">DEGREES( ACOS( COS( RADIANS(S$63))  *  COS( RADIANS($B78))))</f>
        <v>52.238756092965</v>
      </c>
      <c r="T78" s="210" t="n">
        <f aca="false">DEGREES( ACOS( COS( RADIANS(T$63))  *  COS( RADIANS($B78))))</f>
        <v>64.3410937267447</v>
      </c>
      <c r="U78" s="210" t="n">
        <f aca="false">DEGREES( ACOS( COS( RADIANS(U$63))  *  COS( RADIANS($B78))))</f>
        <v>77.0474603577776</v>
      </c>
      <c r="V78" s="209" t="n">
        <f aca="false">DEGREES( ACOS( COS( RADIANS(V$63))  *  COS( RADIANS($B78))))</f>
        <v>90</v>
      </c>
      <c r="W78" s="210" t="n">
        <f aca="false">DEGREES( ACOS( COS( RADIANS(W$63))  *  COS( RADIANS($B78))))</f>
        <v>102.952539642222</v>
      </c>
      <c r="X78" s="210" t="n">
        <f aca="false">DEGREES( ACOS( COS( RADIANS(X$63))  *  COS( RADIANS($B78))))</f>
        <v>115.658906273255</v>
      </c>
      <c r="Y78" s="210" t="n">
        <f aca="false">DEGREES( ACOS( COS( RADIANS(Y$63))  *  COS( RADIANS($B78))))</f>
        <v>127.761243907035</v>
      </c>
      <c r="Z78" s="210" t="n">
        <f aca="false">DEGREES( ACOS( COS( RADIANS(Z$63))  *  COS( RADIANS($B78))))</f>
        <v>138.590377890729</v>
      </c>
      <c r="AA78" s="210" t="n">
        <f aca="false">DEGREES( ACOS( COS( RADIANS(AA$63))  *  COS( RADIANS($B78))))</f>
        <v>146.774057796712</v>
      </c>
      <c r="AB78" s="209" t="n">
        <f aca="false">DEGREES( ACOS( COS( RADIANS(AB$63))  *  COS( RADIANS($B78))))</f>
        <v>149.999998488501</v>
      </c>
      <c r="AC78" s="195" t="n">
        <f aca="false">DEGREES( ACOS( COS( RADIANS(AC$63))  *  COS( RADIANS($B78))))</f>
        <v>150</v>
      </c>
      <c r="AD78" s="195" t="n">
        <f aca="false">DEGREES( ACOS( COS( RADIANS(AD$63))  *  COS( RADIANS($B78))))</f>
        <v>150</v>
      </c>
      <c r="AE78" s="1"/>
      <c r="AF78" s="1"/>
      <c r="AG78" s="1"/>
      <c r="AH78" s="1"/>
      <c r="AI78" s="1"/>
      <c r="AJ78" s="1"/>
      <c r="AK78" s="1"/>
      <c r="AL78" s="1"/>
    </row>
    <row r="79" customFormat="false" ht="12.75" hidden="false" customHeight="true" outlineLevel="0" collapsed="false">
      <c r="A79" s="193" t="n">
        <f aca="false">RADIANS(MOD(B79-180,-360)+180)</f>
        <v>-2.35619449019234</v>
      </c>
      <c r="B79" s="182" t="n">
        <v>225</v>
      </c>
      <c r="C79" s="1"/>
      <c r="D79" s="209" t="n">
        <f aca="false">DEGREES( ACOS( COS( RADIANS(D$63))  *  COS( RADIANS($B79))))</f>
        <v>134.999999991273</v>
      </c>
      <c r="E79" s="210" t="n">
        <f aca="false">DEGREES( ACOS( COS( RADIANS(E$63))  *  COS( RADIANS($B79))))</f>
        <v>133.079517141871</v>
      </c>
      <c r="F79" s="210" t="n">
        <f aca="false">DEGREES( ACOS( COS( RADIANS(F$63))  *  COS( RADIANS($B79))))</f>
        <v>127.761243907035</v>
      </c>
      <c r="G79" s="210" t="n">
        <f aca="false">DEGREES( ACOS( COS( RADIANS(G$63))  *  COS( RADIANS($B79))))</f>
        <v>120</v>
      </c>
      <c r="H79" s="210" t="n">
        <f aca="false">DEGREES( ACOS( COS( RADIANS(H$63))  *  COS( RADIANS($B79))))</f>
        <v>110.704811054635</v>
      </c>
      <c r="I79" s="210" t="n">
        <f aca="false">DEGREES( ACOS( COS( RADIANS(I$63))  *  COS( RADIANS($B79))))</f>
        <v>100.5452905895</v>
      </c>
      <c r="J79" s="209" t="n">
        <f aca="false">DEGREES( ACOS( COS( RADIANS(J$63))  *  COS( RADIANS($B79))))</f>
        <v>90</v>
      </c>
      <c r="K79" s="210" t="n">
        <f aca="false">DEGREES( ACOS( COS( RADIANS(K$63))  *  COS( RADIANS($B79))))</f>
        <v>79.4547094105004</v>
      </c>
      <c r="L79" s="210" t="n">
        <f aca="false">DEGREES( ACOS( COS( RADIANS(L$63))  *  COS( RADIANS($B79))))</f>
        <v>69.2951889453646</v>
      </c>
      <c r="M79" s="210" t="n">
        <f aca="false">DEGREES( ACOS( COS( RADIANS(M$63))  *  COS( RADIANS($B79))))</f>
        <v>60</v>
      </c>
      <c r="N79" s="210" t="n">
        <f aca="false">DEGREES( ACOS( COS( RADIANS(N$63))  *  COS( RADIANS($B79))))</f>
        <v>52.238756092965</v>
      </c>
      <c r="O79" s="210" t="n">
        <f aca="false">DEGREES( ACOS( COS( RADIANS(O$63))  *  COS( RADIANS($B79))))</f>
        <v>46.9204828581291</v>
      </c>
      <c r="P79" s="209" t="n">
        <f aca="false">DEGREES( ACOS( COS( RADIANS(P$63))  *  COS( RADIANS($B79))))</f>
        <v>45</v>
      </c>
      <c r="Q79" s="210" t="n">
        <f aca="false">DEGREES( ACOS( COS( RADIANS(Q$63))  *  COS( RADIANS($B79))))</f>
        <v>46.9204828581291</v>
      </c>
      <c r="R79" s="210" t="n">
        <f aca="false">DEGREES( ACOS( COS( RADIANS(R$63))  *  COS( RADIANS($B79))))</f>
        <v>52.238756092965</v>
      </c>
      <c r="S79" s="210" t="n">
        <f aca="false">DEGREES( ACOS( COS( RADIANS(S$63))  *  COS( RADIANS($B79))))</f>
        <v>60</v>
      </c>
      <c r="T79" s="210" t="n">
        <f aca="false">DEGREES( ACOS( COS( RADIANS(T$63))  *  COS( RADIANS($B79))))</f>
        <v>69.2951889453646</v>
      </c>
      <c r="U79" s="210" t="n">
        <f aca="false">DEGREES( ACOS( COS( RADIANS(U$63))  *  COS( RADIANS($B79))))</f>
        <v>79.4547094105004</v>
      </c>
      <c r="V79" s="209" t="n">
        <f aca="false">DEGREES( ACOS( COS( RADIANS(V$63))  *  COS( RADIANS($B79))))</f>
        <v>90</v>
      </c>
      <c r="W79" s="210" t="n">
        <f aca="false">DEGREES( ACOS( COS( RADIANS(W$63))  *  COS( RADIANS($B79))))</f>
        <v>100.5452905895</v>
      </c>
      <c r="X79" s="210" t="n">
        <f aca="false">DEGREES( ACOS( COS( RADIANS(X$63))  *  COS( RADIANS($B79))))</f>
        <v>110.704811054635</v>
      </c>
      <c r="Y79" s="210" t="n">
        <f aca="false">DEGREES( ACOS( COS( RADIANS(Y$63))  *  COS( RADIANS($B79))))</f>
        <v>120</v>
      </c>
      <c r="Z79" s="210" t="n">
        <f aca="false">DEGREES( ACOS( COS( RADIANS(Z$63))  *  COS( RADIANS($B79))))</f>
        <v>127.761243907035</v>
      </c>
      <c r="AA79" s="210" t="n">
        <f aca="false">DEGREES( ACOS( COS( RADIANS(AA$63))  *  COS( RADIANS($B79))))</f>
        <v>133.079517141871</v>
      </c>
      <c r="AB79" s="209" t="n">
        <f aca="false">DEGREES( ACOS( COS( RADIANS(AB$63))  *  COS( RADIANS($B79))))</f>
        <v>134.999999127335</v>
      </c>
      <c r="AC79" s="195" t="n">
        <f aca="false">DEGREES( ACOS( COS( RADIANS(AC$63))  *  COS( RADIANS($B79))))</f>
        <v>135</v>
      </c>
      <c r="AD79" s="195" t="n">
        <f aca="false">DEGREES( ACOS( COS( RADIANS(AD$63))  *  COS( RADIANS($B79))))</f>
        <v>135</v>
      </c>
      <c r="AE79" s="1"/>
      <c r="AF79" s="1"/>
      <c r="AG79" s="1"/>
      <c r="AH79" s="1"/>
      <c r="AI79" s="1"/>
      <c r="AJ79" s="1"/>
      <c r="AK79" s="1"/>
      <c r="AL79" s="1"/>
    </row>
    <row r="80" customFormat="false" ht="12.75" hidden="false" customHeight="true" outlineLevel="0" collapsed="false">
      <c r="A80" s="193" t="n">
        <f aca="false">RADIANS(MOD(B80-180,-360)+180)</f>
        <v>-2.0943951023932</v>
      </c>
      <c r="B80" s="182" t="n">
        <v>240</v>
      </c>
      <c r="C80" s="1"/>
      <c r="D80" s="209" t="n">
        <f aca="false">DEGREES( ACOS( COS( RADIANS(D$63))  *  COS( RADIANS($B80))))</f>
        <v>119.999999994962</v>
      </c>
      <c r="E80" s="210" t="n">
        <f aca="false">DEGREES( ACOS( COS( RADIANS(E$63))  *  COS( RADIANS($B80))))</f>
        <v>118.879094017428</v>
      </c>
      <c r="F80" s="210" t="n">
        <f aca="false">DEGREES( ACOS( COS( RADIANS(F$63))  *  COS( RADIANS($B80))))</f>
        <v>115.658906273255</v>
      </c>
      <c r="G80" s="210" t="n">
        <f aca="false">DEGREES( ACOS( COS( RADIANS(G$63))  *  COS( RADIANS($B80))))</f>
        <v>110.704811054635</v>
      </c>
      <c r="H80" s="210" t="n">
        <f aca="false">DEGREES( ACOS( COS( RADIANS(H$63))  *  COS( RADIANS($B80))))</f>
        <v>104.47751218593</v>
      </c>
      <c r="I80" s="210" t="n">
        <f aca="false">DEGREES( ACOS( COS( RADIANS(I$63))  *  COS( RADIANS($B80))))</f>
        <v>97.4354722261319</v>
      </c>
      <c r="J80" s="209" t="n">
        <f aca="false">DEGREES( ACOS( COS( RADIANS(J$63))  *  COS( RADIANS($B80))))</f>
        <v>90</v>
      </c>
      <c r="K80" s="210" t="n">
        <f aca="false">DEGREES( ACOS( COS( RADIANS(K$63))  *  COS( RADIANS($B80))))</f>
        <v>82.5645277738682</v>
      </c>
      <c r="L80" s="210" t="n">
        <f aca="false">DEGREES( ACOS( COS( RADIANS(L$63))  *  COS( RADIANS($B80))))</f>
        <v>75.5224878140701</v>
      </c>
      <c r="M80" s="210" t="n">
        <f aca="false">DEGREES( ACOS( COS( RADIANS(M$63))  *  COS( RADIANS($B80))))</f>
        <v>69.2951889453646</v>
      </c>
      <c r="N80" s="210" t="n">
        <f aca="false">DEGREES( ACOS( COS( RADIANS(N$63))  *  COS( RADIANS($B80))))</f>
        <v>64.3410937267447</v>
      </c>
      <c r="O80" s="210" t="n">
        <f aca="false">DEGREES( ACOS( COS( RADIANS(O$63))  *  COS( RADIANS($B80))))</f>
        <v>61.1209059825724</v>
      </c>
      <c r="P80" s="209" t="n">
        <f aca="false">DEGREES( ACOS( COS( RADIANS(P$63))  *  COS( RADIANS($B80))))</f>
        <v>60</v>
      </c>
      <c r="Q80" s="210" t="n">
        <f aca="false">DEGREES( ACOS( COS( RADIANS(Q$63))  *  COS( RADIANS($B80))))</f>
        <v>61.1209059825724</v>
      </c>
      <c r="R80" s="210" t="n">
        <f aca="false">DEGREES( ACOS( COS( RADIANS(R$63))  *  COS( RADIANS($B80))))</f>
        <v>64.3410937267447</v>
      </c>
      <c r="S80" s="210" t="n">
        <f aca="false">DEGREES( ACOS( COS( RADIANS(S$63))  *  COS( RADIANS($B80))))</f>
        <v>69.2951889453646</v>
      </c>
      <c r="T80" s="210" t="n">
        <f aca="false">DEGREES( ACOS( COS( RADIANS(T$63))  *  COS( RADIANS($B80))))</f>
        <v>75.5224878140701</v>
      </c>
      <c r="U80" s="210" t="n">
        <f aca="false">DEGREES( ACOS( COS( RADIANS(U$63))  *  COS( RADIANS($B80))))</f>
        <v>82.5645277738682</v>
      </c>
      <c r="V80" s="209" t="n">
        <f aca="false">DEGREES( ACOS( COS( RADIANS(V$63))  *  COS( RADIANS($B80))))</f>
        <v>90</v>
      </c>
      <c r="W80" s="210" t="n">
        <f aca="false">DEGREES( ACOS( COS( RADIANS(W$63))  *  COS( RADIANS($B80))))</f>
        <v>97.4354722261319</v>
      </c>
      <c r="X80" s="210" t="n">
        <f aca="false">DEGREES( ACOS( COS( RADIANS(X$63))  *  COS( RADIANS($B80))))</f>
        <v>104.47751218593</v>
      </c>
      <c r="Y80" s="210" t="n">
        <f aca="false">DEGREES( ACOS( COS( RADIANS(Y$63))  *  COS( RADIANS($B80))))</f>
        <v>110.704811054635</v>
      </c>
      <c r="Z80" s="210" t="n">
        <f aca="false">DEGREES( ACOS( COS( RADIANS(Z$63))  *  COS( RADIANS($B80))))</f>
        <v>115.658906273255</v>
      </c>
      <c r="AA80" s="210" t="n">
        <f aca="false">DEGREES( ACOS( COS( RADIANS(AA$63))  *  COS( RADIANS($B80))))</f>
        <v>118.879094017428</v>
      </c>
      <c r="AB80" s="209" t="n">
        <f aca="false">DEGREES( ACOS( COS( RADIANS(AB$63))  *  COS( RADIANS($B80))))</f>
        <v>119.999999496167</v>
      </c>
      <c r="AC80" s="195" t="n">
        <f aca="false">DEGREES( ACOS( COS( RADIANS(AC$63))  *  COS( RADIANS($B80))))</f>
        <v>120</v>
      </c>
      <c r="AD80" s="195" t="n">
        <f aca="false">DEGREES( ACOS( COS( RADIANS(AD$63))  *  COS( RADIANS($B80))))</f>
        <v>120</v>
      </c>
      <c r="AE80" s="1"/>
      <c r="AF80" s="1"/>
      <c r="AG80" s="1"/>
      <c r="AH80" s="1"/>
      <c r="AI80" s="1"/>
      <c r="AJ80" s="1"/>
      <c r="AK80" s="1"/>
      <c r="AL80" s="1"/>
    </row>
    <row r="81" customFormat="false" ht="12.75" hidden="false" customHeight="true" outlineLevel="0" collapsed="false">
      <c r="A81" s="193" t="n">
        <f aca="false">RADIANS(MOD(B81-180,-360)+180)</f>
        <v>-1.83259571459405</v>
      </c>
      <c r="B81" s="182" t="n">
        <v>255</v>
      </c>
      <c r="C81" s="1"/>
      <c r="D81" s="209" t="n">
        <f aca="false">DEGREES( ACOS( COS( RADIANS(D$63))  *  COS( RADIANS($B81))))</f>
        <v>104.999999997662</v>
      </c>
      <c r="E81" s="210" t="n">
        <f aca="false">DEGREES( ACOS( COS( RADIANS(E$63))  *  COS( RADIANS($B81))))</f>
        <v>104.47751218593</v>
      </c>
      <c r="F81" s="210" t="n">
        <f aca="false">DEGREES( ACOS( COS( RADIANS(F$63))  *  COS( RADIANS($B81))))</f>
        <v>102.952539642222</v>
      </c>
      <c r="G81" s="210" t="n">
        <f aca="false">DEGREES( ACOS( COS( RADIANS(G$63))  *  COS( RADIANS($B81))))</f>
        <v>100.5452905895</v>
      </c>
      <c r="H81" s="210" t="n">
        <f aca="false">DEGREES( ACOS( COS( RADIANS(H$63))  *  COS( RADIANS($B81))))</f>
        <v>97.4354722261319</v>
      </c>
      <c r="I81" s="210" t="n">
        <f aca="false">DEGREES( ACOS( COS( RADIANS(I$63))  *  COS( RADIANS($B81))))</f>
        <v>93.8409657162582</v>
      </c>
      <c r="J81" s="209" t="n">
        <f aca="false">DEGREES( ACOS( COS( RADIANS(J$63))  *  COS( RADIANS($B81))))</f>
        <v>90</v>
      </c>
      <c r="K81" s="210" t="n">
        <f aca="false">DEGREES( ACOS( COS( RADIANS(K$63))  *  COS( RADIANS($B81))))</f>
        <v>86.1590342837419</v>
      </c>
      <c r="L81" s="210" t="n">
        <f aca="false">DEGREES( ACOS( COS( RADIANS(L$63))  *  COS( RADIANS($B81))))</f>
        <v>82.5645277738682</v>
      </c>
      <c r="M81" s="210" t="n">
        <f aca="false">DEGREES( ACOS( COS( RADIANS(M$63))  *  COS( RADIANS($B81))))</f>
        <v>79.4547094105005</v>
      </c>
      <c r="N81" s="210" t="n">
        <f aca="false">DEGREES( ACOS( COS( RADIANS(N$63))  *  COS( RADIANS($B81))))</f>
        <v>77.0474603577776</v>
      </c>
      <c r="O81" s="210" t="n">
        <f aca="false">DEGREES( ACOS( COS( RADIANS(O$63))  *  COS( RADIANS($B81))))</f>
        <v>75.5224878140701</v>
      </c>
      <c r="P81" s="209" t="n">
        <f aca="false">DEGREES( ACOS( COS( RADIANS(P$63))  *  COS( RADIANS($B81))))</f>
        <v>75</v>
      </c>
      <c r="Q81" s="210" t="n">
        <f aca="false">DEGREES( ACOS( COS( RADIANS(Q$63))  *  COS( RADIANS($B81))))</f>
        <v>75.5224878140701</v>
      </c>
      <c r="R81" s="210" t="n">
        <f aca="false">DEGREES( ACOS( COS( RADIANS(R$63))  *  COS( RADIANS($B81))))</f>
        <v>77.0474603577776</v>
      </c>
      <c r="S81" s="210" t="n">
        <f aca="false">DEGREES( ACOS( COS( RADIANS(S$63))  *  COS( RADIANS($B81))))</f>
        <v>79.4547094105005</v>
      </c>
      <c r="T81" s="210" t="n">
        <f aca="false">DEGREES( ACOS( COS( RADIANS(T$63))  *  COS( RADIANS($B81))))</f>
        <v>82.5645277738682</v>
      </c>
      <c r="U81" s="210" t="n">
        <f aca="false">DEGREES( ACOS( COS( RADIANS(U$63))  *  COS( RADIANS($B81))))</f>
        <v>86.1590342837419</v>
      </c>
      <c r="V81" s="209" t="n">
        <f aca="false">DEGREES( ACOS( COS( RADIANS(V$63))  *  COS( RADIANS($B81))))</f>
        <v>90</v>
      </c>
      <c r="W81" s="210" t="n">
        <f aca="false">DEGREES( ACOS( COS( RADIANS(W$63))  *  COS( RADIANS($B81))))</f>
        <v>93.8409657162582</v>
      </c>
      <c r="X81" s="210" t="n">
        <f aca="false">DEGREES( ACOS( COS( RADIANS(X$63))  *  COS( RADIANS($B81))))</f>
        <v>97.4354722261319</v>
      </c>
      <c r="Y81" s="210" t="n">
        <f aca="false">DEGREES( ACOS( COS( RADIANS(Y$63))  *  COS( RADIANS($B81))))</f>
        <v>100.5452905895</v>
      </c>
      <c r="Z81" s="210" t="n">
        <f aca="false">DEGREES( ACOS( COS( RADIANS(Z$63))  *  COS( RADIANS($B81))))</f>
        <v>102.952539642222</v>
      </c>
      <c r="AA81" s="210" t="n">
        <f aca="false">DEGREES( ACOS( COS( RADIANS(AA$63))  *  COS( RADIANS($B81))))</f>
        <v>104.47751218593</v>
      </c>
      <c r="AB81" s="209" t="n">
        <f aca="false">DEGREES( ACOS( COS( RADIANS(AB$63))  *  COS( RADIANS($B81))))</f>
        <v>104.99999976617</v>
      </c>
      <c r="AC81" s="195" t="n">
        <f aca="false">DEGREES( ACOS( COS( RADIANS(AC$63))  *  COS( RADIANS($B81))))</f>
        <v>105</v>
      </c>
      <c r="AD81" s="195" t="n">
        <f aca="false">DEGREES( ACOS( COS( RADIANS(AD$63))  *  COS( RADIANS($B81))))</f>
        <v>105</v>
      </c>
      <c r="AE81" s="1"/>
      <c r="AF81" s="1"/>
      <c r="AG81" s="1"/>
      <c r="AH81" s="1"/>
      <c r="AI81" s="1"/>
      <c r="AJ81" s="1"/>
      <c r="AK81" s="1"/>
      <c r="AL81" s="1"/>
    </row>
    <row r="82" customFormat="false" ht="12.75" hidden="false" customHeight="true" outlineLevel="0" collapsed="false">
      <c r="A82" s="193" t="n">
        <f aca="false">RADIANS(MOD(B82-180,-360)+180)</f>
        <v>-1.5707963267949</v>
      </c>
      <c r="B82" s="182" t="n">
        <v>270</v>
      </c>
      <c r="C82" s="1"/>
      <c r="D82" s="209" t="n">
        <f aca="false">DEGREES( ACOS( COS( RADIANS(D$63))  *  COS( RADIANS($B82))))</f>
        <v>90</v>
      </c>
      <c r="E82" s="209" t="n">
        <f aca="false">DEGREES( ACOS( COS( RADIANS(E$63))  *  COS( RADIANS($B82))))</f>
        <v>90</v>
      </c>
      <c r="F82" s="209" t="n">
        <f aca="false">DEGREES( ACOS( COS( RADIANS(F$63))  *  COS( RADIANS($B82))))</f>
        <v>90</v>
      </c>
      <c r="G82" s="209" t="n">
        <f aca="false">DEGREES( ACOS( COS( RADIANS(G$63))  *  COS( RADIANS($B82))))</f>
        <v>90</v>
      </c>
      <c r="H82" s="209" t="n">
        <f aca="false">DEGREES( ACOS( COS( RADIANS(H$63))  *  COS( RADIANS($B82))))</f>
        <v>90</v>
      </c>
      <c r="I82" s="209" t="n">
        <f aca="false">DEGREES( ACOS( COS( RADIANS(I$63))  *  COS( RADIANS($B82))))</f>
        <v>90</v>
      </c>
      <c r="J82" s="209" t="n">
        <f aca="false">DEGREES( ACOS( COS( RADIANS(J$63))  *  COS( RADIANS($B82))))</f>
        <v>90</v>
      </c>
      <c r="K82" s="209" t="n">
        <f aca="false">DEGREES( ACOS( COS( RADIANS(K$63))  *  COS( RADIANS($B82))))</f>
        <v>90</v>
      </c>
      <c r="L82" s="209" t="n">
        <f aca="false">DEGREES( ACOS( COS( RADIANS(L$63))  *  COS( RADIANS($B82))))</f>
        <v>90</v>
      </c>
      <c r="M82" s="209" t="n">
        <f aca="false">DEGREES( ACOS( COS( RADIANS(M$63))  *  COS( RADIANS($B82))))</f>
        <v>90</v>
      </c>
      <c r="N82" s="209" t="n">
        <f aca="false">DEGREES( ACOS( COS( RADIANS(N$63))  *  COS( RADIANS($B82))))</f>
        <v>90</v>
      </c>
      <c r="O82" s="209" t="n">
        <f aca="false">DEGREES( ACOS( COS( RADIANS(O$63))  *  COS( RADIANS($B82))))</f>
        <v>90</v>
      </c>
      <c r="P82" s="209" t="n">
        <f aca="false">DEGREES( ACOS( COS( RADIANS(P$63))  *  COS( RADIANS($B82))))</f>
        <v>90</v>
      </c>
      <c r="Q82" s="209" t="n">
        <f aca="false">DEGREES( ACOS( COS( RADIANS(Q$63))  *  COS( RADIANS($B82))))</f>
        <v>90</v>
      </c>
      <c r="R82" s="209" t="n">
        <f aca="false">DEGREES( ACOS( COS( RADIANS(R$63))  *  COS( RADIANS($B82))))</f>
        <v>90</v>
      </c>
      <c r="S82" s="209" t="n">
        <f aca="false">DEGREES( ACOS( COS( RADIANS(S$63))  *  COS( RADIANS($B82))))</f>
        <v>90</v>
      </c>
      <c r="T82" s="209" t="n">
        <f aca="false">DEGREES( ACOS( COS( RADIANS(T$63))  *  COS( RADIANS($B82))))</f>
        <v>90</v>
      </c>
      <c r="U82" s="209" t="n">
        <f aca="false">DEGREES( ACOS( COS( RADIANS(U$63))  *  COS( RADIANS($B82))))</f>
        <v>90</v>
      </c>
      <c r="V82" s="209" t="n">
        <f aca="false">DEGREES( ACOS( COS( RADIANS(V$63))  *  COS( RADIANS($B82))))</f>
        <v>90</v>
      </c>
      <c r="W82" s="209" t="n">
        <f aca="false">DEGREES( ACOS( COS( RADIANS(W$63))  *  COS( RADIANS($B82))))</f>
        <v>90</v>
      </c>
      <c r="X82" s="209" t="n">
        <f aca="false">DEGREES( ACOS( COS( RADIANS(X$63))  *  COS( RADIANS($B82))))</f>
        <v>90</v>
      </c>
      <c r="Y82" s="209" t="n">
        <f aca="false">DEGREES( ACOS( COS( RADIANS(Y$63))  *  COS( RADIANS($B82))))</f>
        <v>90</v>
      </c>
      <c r="Z82" s="209" t="n">
        <f aca="false">DEGREES( ACOS( COS( RADIANS(Z$63))  *  COS( RADIANS($B82))))</f>
        <v>90</v>
      </c>
      <c r="AA82" s="209" t="n">
        <f aca="false">DEGREES( ACOS( COS( RADIANS(AA$63))  *  COS( RADIANS($B82))))</f>
        <v>90</v>
      </c>
      <c r="AB82" s="209" t="n">
        <f aca="false">DEGREES( ACOS( COS( RADIANS(AB$63))  *  COS( RADIANS($B82))))</f>
        <v>90</v>
      </c>
      <c r="AC82" s="195" t="n">
        <f aca="false">DEGREES( ACOS( COS( RADIANS(AC$63))  *  COS( RADIANS($B82))))</f>
        <v>90</v>
      </c>
      <c r="AD82" s="195" t="n">
        <f aca="false">DEGREES( ACOS( COS( RADIANS(AD$63))  *  COS( RADIANS($B82))))</f>
        <v>90</v>
      </c>
      <c r="AE82" s="1"/>
      <c r="AF82" s="1"/>
      <c r="AG82" s="1"/>
      <c r="AH82" s="1"/>
      <c r="AI82" s="1"/>
      <c r="AJ82" s="1"/>
      <c r="AK82" s="1"/>
      <c r="AL82" s="1"/>
    </row>
    <row r="83" customFormat="false" ht="12.75" hidden="false" customHeight="true" outlineLevel="0" collapsed="false">
      <c r="A83" s="193" t="n">
        <f aca="false">RADIANS(MOD(B83-180,-360)+180)</f>
        <v>-1.30899693899575</v>
      </c>
      <c r="B83" s="182" t="n">
        <v>285</v>
      </c>
      <c r="C83" s="1"/>
      <c r="D83" s="209" t="n">
        <f aca="false">DEGREES( ACOS( COS( RADIANS(D$63))  *  COS( RADIANS($B83))))</f>
        <v>75.0000000023383</v>
      </c>
      <c r="E83" s="210" t="n">
        <f aca="false">DEGREES( ACOS( COS( RADIANS(E$63))  *  COS( RADIANS($B83))))</f>
        <v>75.5224878140701</v>
      </c>
      <c r="F83" s="210" t="n">
        <f aca="false">DEGREES( ACOS( COS( RADIANS(F$63))  *  COS( RADIANS($B83))))</f>
        <v>77.0474603577777</v>
      </c>
      <c r="G83" s="210" t="n">
        <f aca="false">DEGREES( ACOS( COS( RADIANS(G$63))  *  COS( RADIANS($B83))))</f>
        <v>79.4547094105005</v>
      </c>
      <c r="H83" s="210" t="n">
        <f aca="false">DEGREES( ACOS( COS( RADIANS(H$63))  *  COS( RADIANS($B83))))</f>
        <v>82.5645277738682</v>
      </c>
      <c r="I83" s="210" t="n">
        <f aca="false">DEGREES( ACOS( COS( RADIANS(I$63))  *  COS( RADIANS($B83))))</f>
        <v>86.1590342837419</v>
      </c>
      <c r="J83" s="209" t="n">
        <f aca="false">DEGREES( ACOS( COS( RADIANS(J$63))  *  COS( RADIANS($B83))))</f>
        <v>90</v>
      </c>
      <c r="K83" s="210" t="n">
        <f aca="false">DEGREES( ACOS( COS( RADIANS(K$63))  *  COS( RADIANS($B83))))</f>
        <v>93.8409657162582</v>
      </c>
      <c r="L83" s="210" t="n">
        <f aca="false">DEGREES( ACOS( COS( RADIANS(L$63))  *  COS( RADIANS($B83))))</f>
        <v>97.4354722261318</v>
      </c>
      <c r="M83" s="210" t="n">
        <f aca="false">DEGREES( ACOS( COS( RADIANS(M$63))  *  COS( RADIANS($B83))))</f>
        <v>100.5452905895</v>
      </c>
      <c r="N83" s="210" t="n">
        <f aca="false">DEGREES( ACOS( COS( RADIANS(N$63))  *  COS( RADIANS($B83))))</f>
        <v>102.952539642222</v>
      </c>
      <c r="O83" s="210" t="n">
        <f aca="false">DEGREES( ACOS( COS( RADIANS(O$63))  *  COS( RADIANS($B83))))</f>
        <v>104.47751218593</v>
      </c>
      <c r="P83" s="209" t="n">
        <f aca="false">DEGREES( ACOS( COS( RADIANS(P$63))  *  COS( RADIANS($B83))))</f>
        <v>105</v>
      </c>
      <c r="Q83" s="210" t="n">
        <f aca="false">DEGREES( ACOS( COS( RADIANS(Q$63))  *  COS( RADIANS($B83))))</f>
        <v>104.47751218593</v>
      </c>
      <c r="R83" s="210" t="n">
        <f aca="false">DEGREES( ACOS( COS( RADIANS(R$63))  *  COS( RADIANS($B83))))</f>
        <v>102.952539642222</v>
      </c>
      <c r="S83" s="210" t="n">
        <f aca="false">DEGREES( ACOS( COS( RADIANS(S$63))  *  COS( RADIANS($B83))))</f>
        <v>100.5452905895</v>
      </c>
      <c r="T83" s="210" t="n">
        <f aca="false">DEGREES( ACOS( COS( RADIANS(T$63))  *  COS( RADIANS($B83))))</f>
        <v>97.4354722261318</v>
      </c>
      <c r="U83" s="210" t="n">
        <f aca="false">DEGREES( ACOS( COS( RADIANS(U$63))  *  COS( RADIANS($B83))))</f>
        <v>93.8409657162582</v>
      </c>
      <c r="V83" s="209" t="n">
        <f aca="false">DEGREES( ACOS( COS( RADIANS(V$63))  *  COS( RADIANS($B83))))</f>
        <v>90</v>
      </c>
      <c r="W83" s="210" t="n">
        <f aca="false">DEGREES( ACOS( COS( RADIANS(W$63))  *  COS( RADIANS($B83))))</f>
        <v>86.1590342837419</v>
      </c>
      <c r="X83" s="210" t="n">
        <f aca="false">DEGREES( ACOS( COS( RADIANS(X$63))  *  COS( RADIANS($B83))))</f>
        <v>82.5645277738682</v>
      </c>
      <c r="Y83" s="210" t="n">
        <f aca="false">DEGREES( ACOS( COS( RADIANS(Y$63))  *  COS( RADIANS($B83))))</f>
        <v>79.4547094105005</v>
      </c>
      <c r="Z83" s="210" t="n">
        <f aca="false">DEGREES( ACOS( COS( RADIANS(Z$63))  *  COS( RADIANS($B83))))</f>
        <v>77.0474603577777</v>
      </c>
      <c r="AA83" s="210" t="n">
        <f aca="false">DEGREES( ACOS( COS( RADIANS(AA$63))  *  COS( RADIANS($B83))))</f>
        <v>75.5224878140701</v>
      </c>
      <c r="AB83" s="209" t="n">
        <f aca="false">DEGREES( ACOS( COS( RADIANS(AB$63))  *  COS( RADIANS($B83))))</f>
        <v>75.0000002338298</v>
      </c>
      <c r="AC83" s="195" t="n">
        <f aca="false">DEGREES( ACOS( COS( RADIANS(AC$63))  *  COS( RADIANS($B83))))</f>
        <v>75</v>
      </c>
      <c r="AD83" s="195" t="n">
        <f aca="false">DEGREES( ACOS( COS( RADIANS(AD$63))  *  COS( RADIANS($B83))))</f>
        <v>75</v>
      </c>
      <c r="AE83" s="1"/>
      <c r="AF83" s="1"/>
      <c r="AG83" s="1"/>
      <c r="AH83" s="1"/>
      <c r="AI83" s="1"/>
      <c r="AJ83" s="1"/>
      <c r="AK83" s="1"/>
      <c r="AL83" s="1"/>
    </row>
    <row r="84" customFormat="false" ht="12.75" hidden="false" customHeight="true" outlineLevel="0" collapsed="false">
      <c r="A84" s="193" t="n">
        <f aca="false">RADIANS(MOD(B84-180,-360)+180)</f>
        <v>-1.0471975511966</v>
      </c>
      <c r="B84" s="182" t="n">
        <v>300</v>
      </c>
      <c r="C84" s="1"/>
      <c r="D84" s="209" t="n">
        <f aca="false">DEGREES( ACOS( COS( RADIANS(D$63))  *  COS( RADIANS($B84))))</f>
        <v>60.0000000050383</v>
      </c>
      <c r="E84" s="210" t="n">
        <f aca="false">DEGREES( ACOS( COS( RADIANS(E$63))  *  COS( RADIANS($B84))))</f>
        <v>61.1209059825724</v>
      </c>
      <c r="F84" s="210" t="n">
        <f aca="false">DEGREES( ACOS( COS( RADIANS(F$63))  *  COS( RADIANS($B84))))</f>
        <v>64.3410937267447</v>
      </c>
      <c r="G84" s="210" t="n">
        <f aca="false">DEGREES( ACOS( COS( RADIANS(G$63))  *  COS( RADIANS($B84))))</f>
        <v>69.2951889453646</v>
      </c>
      <c r="H84" s="210" t="n">
        <f aca="false">DEGREES( ACOS( COS( RADIANS(H$63))  *  COS( RADIANS($B84))))</f>
        <v>75.5224878140701</v>
      </c>
      <c r="I84" s="210" t="n">
        <f aca="false">DEGREES( ACOS( COS( RADIANS(I$63))  *  COS( RADIANS($B84))))</f>
        <v>82.5645277738682</v>
      </c>
      <c r="J84" s="209" t="n">
        <f aca="false">DEGREES( ACOS( COS( RADIANS(J$63))  *  COS( RADIANS($B84))))</f>
        <v>90</v>
      </c>
      <c r="K84" s="210" t="n">
        <f aca="false">DEGREES( ACOS( COS( RADIANS(K$63))  *  COS( RADIANS($B84))))</f>
        <v>97.4354722261319</v>
      </c>
      <c r="L84" s="210" t="n">
        <f aca="false">DEGREES( ACOS( COS( RADIANS(L$63))  *  COS( RADIANS($B84))))</f>
        <v>104.47751218593</v>
      </c>
      <c r="M84" s="210" t="n">
        <f aca="false">DEGREES( ACOS( COS( RADIANS(M$63))  *  COS( RADIANS($B84))))</f>
        <v>110.704811054635</v>
      </c>
      <c r="N84" s="210" t="n">
        <f aca="false">DEGREES( ACOS( COS( RADIANS(N$63))  *  COS( RADIANS($B84))))</f>
        <v>115.658906273255</v>
      </c>
      <c r="O84" s="210" t="n">
        <f aca="false">DEGREES( ACOS( COS( RADIANS(O$63))  *  COS( RADIANS($B84))))</f>
        <v>118.879094017428</v>
      </c>
      <c r="P84" s="209" t="n">
        <f aca="false">DEGREES( ACOS( COS( RADIANS(P$63))  *  COS( RADIANS($B84))))</f>
        <v>120</v>
      </c>
      <c r="Q84" s="210" t="n">
        <f aca="false">DEGREES( ACOS( COS( RADIANS(Q$63))  *  COS( RADIANS($B84))))</f>
        <v>118.879094017428</v>
      </c>
      <c r="R84" s="210" t="n">
        <f aca="false">DEGREES( ACOS( COS( RADIANS(R$63))  *  COS( RADIANS($B84))))</f>
        <v>115.658906273255</v>
      </c>
      <c r="S84" s="210" t="n">
        <f aca="false">DEGREES( ACOS( COS( RADIANS(S$63))  *  COS( RADIANS($B84))))</f>
        <v>110.704811054635</v>
      </c>
      <c r="T84" s="210" t="n">
        <f aca="false">DEGREES( ACOS( COS( RADIANS(T$63))  *  COS( RADIANS($B84))))</f>
        <v>104.47751218593</v>
      </c>
      <c r="U84" s="210" t="n">
        <f aca="false">DEGREES( ACOS( COS( RADIANS(U$63))  *  COS( RADIANS($B84))))</f>
        <v>97.4354722261319</v>
      </c>
      <c r="V84" s="209" t="n">
        <f aca="false">DEGREES( ACOS( COS( RADIANS(V$63))  *  COS( RADIANS($B84))))</f>
        <v>90</v>
      </c>
      <c r="W84" s="210" t="n">
        <f aca="false">DEGREES( ACOS( COS( RADIANS(W$63))  *  COS( RADIANS($B84))))</f>
        <v>82.5645277738682</v>
      </c>
      <c r="X84" s="210" t="n">
        <f aca="false">DEGREES( ACOS( COS( RADIANS(X$63))  *  COS( RADIANS($B84))))</f>
        <v>75.5224878140701</v>
      </c>
      <c r="Y84" s="210" t="n">
        <f aca="false">DEGREES( ACOS( COS( RADIANS(Y$63))  *  COS( RADIANS($B84))))</f>
        <v>69.2951889453646</v>
      </c>
      <c r="Z84" s="210" t="n">
        <f aca="false">DEGREES( ACOS( COS( RADIANS(Z$63))  *  COS( RADIANS($B84))))</f>
        <v>64.3410937267447</v>
      </c>
      <c r="AA84" s="210" t="n">
        <f aca="false">DEGREES( ACOS( COS( RADIANS(AA$63))  *  COS( RADIANS($B84))))</f>
        <v>61.1209059825724</v>
      </c>
      <c r="AB84" s="209" t="n">
        <f aca="false">DEGREES( ACOS( COS( RADIANS(AB$63))  *  COS( RADIANS($B84))))</f>
        <v>60.0000005038332</v>
      </c>
      <c r="AC84" s="195" t="n">
        <f aca="false">DEGREES( ACOS( COS( RADIANS(AC$63))  *  COS( RADIANS($B84))))</f>
        <v>60</v>
      </c>
      <c r="AD84" s="195" t="n">
        <f aca="false">DEGREES( ACOS( COS( RADIANS(AD$63))  *  COS( RADIANS($B84))))</f>
        <v>60</v>
      </c>
      <c r="AE84" s="1"/>
      <c r="AF84" s="1"/>
      <c r="AG84" s="1"/>
      <c r="AH84" s="1"/>
      <c r="AI84" s="1"/>
      <c r="AJ84" s="1"/>
      <c r="AK84" s="1"/>
      <c r="AL84" s="1"/>
    </row>
    <row r="85" customFormat="false" ht="12.75" hidden="false" customHeight="true" outlineLevel="0" collapsed="false">
      <c r="A85" s="193" t="n">
        <f aca="false">RADIANS(MOD(B85-180,-360)+180)</f>
        <v>-0.785398163397448</v>
      </c>
      <c r="B85" s="182" t="n">
        <v>315</v>
      </c>
      <c r="C85" s="1"/>
      <c r="D85" s="209" t="n">
        <f aca="false">DEGREES( ACOS( COS( RADIANS(D$63))  *  COS( RADIANS($B85))))</f>
        <v>45.0000000087267</v>
      </c>
      <c r="E85" s="210" t="n">
        <f aca="false">DEGREES( ACOS( COS( RADIANS(E$63))  *  COS( RADIANS($B85))))</f>
        <v>46.9204828581291</v>
      </c>
      <c r="F85" s="210" t="n">
        <f aca="false">DEGREES( ACOS( COS( RADIANS(F$63))  *  COS( RADIANS($B85))))</f>
        <v>52.238756092965</v>
      </c>
      <c r="G85" s="210" t="n">
        <f aca="false">DEGREES( ACOS( COS( RADIANS(G$63))  *  COS( RADIANS($B85))))</f>
        <v>60</v>
      </c>
      <c r="H85" s="210" t="n">
        <f aca="false">DEGREES( ACOS( COS( RADIANS(H$63))  *  COS( RADIANS($B85))))</f>
        <v>69.2951889453646</v>
      </c>
      <c r="I85" s="210" t="n">
        <f aca="false">DEGREES( ACOS( COS( RADIANS(I$63))  *  COS( RADIANS($B85))))</f>
        <v>79.4547094105005</v>
      </c>
      <c r="J85" s="209" t="n">
        <f aca="false">DEGREES( ACOS( COS( RADIANS(J$63))  *  COS( RADIANS($B85))))</f>
        <v>90</v>
      </c>
      <c r="K85" s="210" t="n">
        <f aca="false">DEGREES( ACOS( COS( RADIANS(K$63))  *  COS( RADIANS($B85))))</f>
        <v>100.5452905895</v>
      </c>
      <c r="L85" s="210" t="n">
        <f aca="false">DEGREES( ACOS( COS( RADIANS(L$63))  *  COS( RADIANS($B85))))</f>
        <v>110.704811054635</v>
      </c>
      <c r="M85" s="210" t="n">
        <f aca="false">DEGREES( ACOS( COS( RADIANS(M$63))  *  COS( RADIANS($B85))))</f>
        <v>120</v>
      </c>
      <c r="N85" s="210" t="n">
        <f aca="false">DEGREES( ACOS( COS( RADIANS(N$63))  *  COS( RADIANS($B85))))</f>
        <v>127.761243907035</v>
      </c>
      <c r="O85" s="210" t="n">
        <f aca="false">DEGREES( ACOS( COS( RADIANS(O$63))  *  COS( RADIANS($B85))))</f>
        <v>133.079517141871</v>
      </c>
      <c r="P85" s="209" t="n">
        <f aca="false">DEGREES( ACOS( COS( RADIANS(P$63))  *  COS( RADIANS($B85))))</f>
        <v>135</v>
      </c>
      <c r="Q85" s="210" t="n">
        <f aca="false">DEGREES( ACOS( COS( RADIANS(Q$63))  *  COS( RADIANS($B85))))</f>
        <v>133.079517141871</v>
      </c>
      <c r="R85" s="210" t="n">
        <f aca="false">DEGREES( ACOS( COS( RADIANS(R$63))  *  COS( RADIANS($B85))))</f>
        <v>127.761243907035</v>
      </c>
      <c r="S85" s="210" t="n">
        <f aca="false">DEGREES( ACOS( COS( RADIANS(S$63))  *  COS( RADIANS($B85))))</f>
        <v>120</v>
      </c>
      <c r="T85" s="210" t="n">
        <f aca="false">DEGREES( ACOS( COS( RADIANS(T$63))  *  COS( RADIANS($B85))))</f>
        <v>110.704811054635</v>
      </c>
      <c r="U85" s="210" t="n">
        <f aca="false">DEGREES( ACOS( COS( RADIANS(U$63))  *  COS( RADIANS($B85))))</f>
        <v>100.5452905895</v>
      </c>
      <c r="V85" s="209" t="n">
        <f aca="false">DEGREES( ACOS( COS( RADIANS(V$63))  *  COS( RADIANS($B85))))</f>
        <v>90</v>
      </c>
      <c r="W85" s="210" t="n">
        <f aca="false">DEGREES( ACOS( COS( RADIANS(W$63))  *  COS( RADIANS($B85))))</f>
        <v>79.4547094105005</v>
      </c>
      <c r="X85" s="210" t="n">
        <f aca="false">DEGREES( ACOS( COS( RADIANS(X$63))  *  COS( RADIANS($B85))))</f>
        <v>69.2951889453646</v>
      </c>
      <c r="Y85" s="210" t="n">
        <f aca="false">DEGREES( ACOS( COS( RADIANS(Y$63))  *  COS( RADIANS($B85))))</f>
        <v>60</v>
      </c>
      <c r="Z85" s="210" t="n">
        <f aca="false">DEGREES( ACOS( COS( RADIANS(Z$63))  *  COS( RADIANS($B85))))</f>
        <v>52.238756092965</v>
      </c>
      <c r="AA85" s="210" t="n">
        <f aca="false">DEGREES( ACOS( COS( RADIANS(AA$63))  *  COS( RADIANS($B85))))</f>
        <v>46.9204828581291</v>
      </c>
      <c r="AB85" s="209" t="n">
        <f aca="false">DEGREES( ACOS( COS( RADIANS(AB$63))  *  COS( RADIANS($B85))))</f>
        <v>45.0000008726646</v>
      </c>
      <c r="AC85" s="195" t="n">
        <f aca="false">DEGREES( ACOS( COS( RADIANS(AC$63))  *  COS( RADIANS($B85))))</f>
        <v>45</v>
      </c>
      <c r="AD85" s="195" t="n">
        <f aca="false">DEGREES( ACOS( COS( RADIANS(AD$63))  *  COS( RADIANS($B85))))</f>
        <v>45</v>
      </c>
      <c r="AE85" s="1"/>
      <c r="AF85" s="1"/>
      <c r="AG85" s="1"/>
      <c r="AH85" s="1"/>
      <c r="AI85" s="1"/>
      <c r="AJ85" s="1"/>
      <c r="AK85" s="1"/>
      <c r="AL85" s="1"/>
    </row>
    <row r="86" customFormat="false" ht="12.75" hidden="false" customHeight="true" outlineLevel="0" collapsed="false">
      <c r="A86" s="193" t="n">
        <f aca="false">RADIANS(MOD(B86-180,-360)+180)</f>
        <v>-0.523598775598299</v>
      </c>
      <c r="B86" s="182" t="n">
        <v>330</v>
      </c>
      <c r="C86" s="1"/>
      <c r="D86" s="209" t="n">
        <f aca="false">DEGREES( ACOS( COS( RADIANS(D$63))  *  COS( RADIANS($B86))))</f>
        <v>30.000000015115</v>
      </c>
      <c r="E86" s="210" t="n">
        <f aca="false">DEGREES( ACOS( COS( RADIANS(E$63))  *  COS( RADIANS($B86))))</f>
        <v>33.2259422032876</v>
      </c>
      <c r="F86" s="210" t="n">
        <f aca="false">DEGREES( ACOS( COS( RADIANS(F$63))  *  COS( RADIANS($B86))))</f>
        <v>41.4096221092709</v>
      </c>
      <c r="G86" s="210" t="n">
        <f aca="false">DEGREES( ACOS( COS( RADIANS(G$63))  *  COS( RADIANS($B86))))</f>
        <v>52.238756092965</v>
      </c>
      <c r="H86" s="210" t="n">
        <f aca="false">DEGREES( ACOS( COS( RADIANS(H$63))  *  COS( RADIANS($B86))))</f>
        <v>64.3410937267447</v>
      </c>
      <c r="I86" s="210" t="n">
        <f aca="false">DEGREES( ACOS( COS( RADIANS(I$63))  *  COS( RADIANS($B86))))</f>
        <v>77.0474603577776</v>
      </c>
      <c r="J86" s="209" t="n">
        <f aca="false">DEGREES( ACOS( COS( RADIANS(J$63))  *  COS( RADIANS($B86))))</f>
        <v>90</v>
      </c>
      <c r="K86" s="210" t="n">
        <f aca="false">DEGREES( ACOS( COS( RADIANS(K$63))  *  COS( RADIANS($B86))))</f>
        <v>102.952539642222</v>
      </c>
      <c r="L86" s="210" t="n">
        <f aca="false">DEGREES( ACOS( COS( RADIANS(L$63))  *  COS( RADIANS($B86))))</f>
        <v>115.658906273255</v>
      </c>
      <c r="M86" s="210" t="n">
        <f aca="false">DEGREES( ACOS( COS( RADIANS(M$63))  *  COS( RADIANS($B86))))</f>
        <v>127.761243907035</v>
      </c>
      <c r="N86" s="210" t="n">
        <f aca="false">DEGREES( ACOS( COS( RADIANS(N$63))  *  COS( RADIANS($B86))))</f>
        <v>138.590377890729</v>
      </c>
      <c r="O86" s="210" t="n">
        <f aca="false">DEGREES( ACOS( COS( RADIANS(O$63))  *  COS( RADIANS($B86))))</f>
        <v>146.774057796712</v>
      </c>
      <c r="P86" s="209" t="n">
        <f aca="false">DEGREES( ACOS( COS( RADIANS(P$63))  *  COS( RADIANS($B86))))</f>
        <v>150</v>
      </c>
      <c r="Q86" s="210" t="n">
        <f aca="false">DEGREES( ACOS( COS( RADIANS(Q$63))  *  COS( RADIANS($B86))))</f>
        <v>146.774057796712</v>
      </c>
      <c r="R86" s="210" t="n">
        <f aca="false">DEGREES( ACOS( COS( RADIANS(R$63))  *  COS( RADIANS($B86))))</f>
        <v>138.590377890729</v>
      </c>
      <c r="S86" s="210" t="n">
        <f aca="false">DEGREES( ACOS( COS( RADIANS(S$63))  *  COS( RADIANS($B86))))</f>
        <v>127.761243907035</v>
      </c>
      <c r="T86" s="210" t="n">
        <f aca="false">DEGREES( ACOS( COS( RADIANS(T$63))  *  COS( RADIANS($B86))))</f>
        <v>115.658906273255</v>
      </c>
      <c r="U86" s="210" t="n">
        <f aca="false">DEGREES( ACOS( COS( RADIANS(U$63))  *  COS( RADIANS($B86))))</f>
        <v>102.952539642222</v>
      </c>
      <c r="V86" s="209" t="n">
        <f aca="false">DEGREES( ACOS( COS( RADIANS(V$63))  *  COS( RADIANS($B86))))</f>
        <v>90</v>
      </c>
      <c r="W86" s="210" t="n">
        <f aca="false">DEGREES( ACOS( COS( RADIANS(W$63))  *  COS( RADIANS($B86))))</f>
        <v>77.0474603577776</v>
      </c>
      <c r="X86" s="210" t="n">
        <f aca="false">DEGREES( ACOS( COS( RADIANS(X$63))  *  COS( RADIANS($B86))))</f>
        <v>64.3410937267447</v>
      </c>
      <c r="Y86" s="210" t="n">
        <f aca="false">DEGREES( ACOS( COS( RADIANS(Y$63))  *  COS( RADIANS($B86))))</f>
        <v>52.238756092965</v>
      </c>
      <c r="Z86" s="210" t="n">
        <f aca="false">DEGREES( ACOS( COS( RADIANS(Z$63))  *  COS( RADIANS($B86))))</f>
        <v>41.4096221092709</v>
      </c>
      <c r="AA86" s="210" t="n">
        <f aca="false">DEGREES( ACOS( COS( RADIANS(AA$63))  *  COS( RADIANS($B86))))</f>
        <v>33.2259422032876</v>
      </c>
      <c r="AB86" s="209" t="n">
        <f aca="false">DEGREES( ACOS( COS( RADIANS(AB$63))  *  COS( RADIANS($B86))))</f>
        <v>30.0000015114995</v>
      </c>
      <c r="AC86" s="195" t="n">
        <f aca="false">DEGREES( ACOS( COS( RADIANS(AC$63))  *  COS( RADIANS($B86))))</f>
        <v>30</v>
      </c>
      <c r="AD86" s="195" t="n">
        <f aca="false">DEGREES( ACOS( COS( RADIANS(AD$63))  *  COS( RADIANS($B86))))</f>
        <v>30</v>
      </c>
      <c r="AE86" s="1"/>
      <c r="AF86" s="1"/>
      <c r="AG86" s="1"/>
      <c r="AH86" s="1"/>
      <c r="AI86" s="1"/>
      <c r="AJ86" s="1"/>
      <c r="AK86" s="1"/>
      <c r="AL86" s="1"/>
    </row>
    <row r="87" customFormat="false" ht="12.75" hidden="false" customHeight="true" outlineLevel="0" collapsed="false">
      <c r="A87" s="193" t="n">
        <f aca="false">RADIANS(MOD(B87-180,-360)+180)</f>
        <v>-0.261799387799149</v>
      </c>
      <c r="B87" s="182" t="n">
        <v>345</v>
      </c>
      <c r="C87" s="1"/>
      <c r="D87" s="209" t="n">
        <f aca="false">DEGREES( ACOS( COS( RADIANS(D$63))  *  COS( RADIANS($B87))))</f>
        <v>15.0000000325683</v>
      </c>
      <c r="E87" s="210" t="n">
        <f aca="false">DEGREES( ACOS( COS( RADIANS(E$63))  *  COS( RADIANS($B87))))</f>
        <v>21.0905811789991</v>
      </c>
      <c r="F87" s="210" t="n">
        <f aca="false">DEGREES( ACOS( COS( RADIANS(F$63))  *  COS( RADIANS($B87))))</f>
        <v>33.2259422032876</v>
      </c>
      <c r="G87" s="210" t="n">
        <f aca="false">DEGREES( ACOS( COS( RADIANS(G$63))  *  COS( RADIANS($B87))))</f>
        <v>46.9204828581291</v>
      </c>
      <c r="H87" s="210" t="n">
        <f aca="false">DEGREES( ACOS( COS( RADIANS(H$63))  *  COS( RADIANS($B87))))</f>
        <v>61.1209059825724</v>
      </c>
      <c r="I87" s="210" t="n">
        <f aca="false">DEGREES( ACOS( COS( RADIANS(I$63))  *  COS( RADIANS($B87))))</f>
        <v>75.5224878140701</v>
      </c>
      <c r="J87" s="209" t="n">
        <f aca="false">DEGREES( ACOS( COS( RADIANS(J$63))  *  COS( RADIANS($B87))))</f>
        <v>90</v>
      </c>
      <c r="K87" s="210" t="n">
        <f aca="false">DEGREES( ACOS( COS( RADIANS(K$63))  *  COS( RADIANS($B87))))</f>
        <v>104.47751218593</v>
      </c>
      <c r="L87" s="210" t="n">
        <f aca="false">DEGREES( ACOS( COS( RADIANS(L$63))  *  COS( RADIANS($B87))))</f>
        <v>118.879094017428</v>
      </c>
      <c r="M87" s="210" t="n">
        <f aca="false">DEGREES( ACOS( COS( RADIANS(M$63))  *  COS( RADIANS($B87))))</f>
        <v>133.079517141871</v>
      </c>
      <c r="N87" s="210" t="n">
        <f aca="false">DEGREES( ACOS( COS( RADIANS(N$63))  *  COS( RADIANS($B87))))</f>
        <v>146.774057796712</v>
      </c>
      <c r="O87" s="210" t="n">
        <f aca="false">DEGREES( ACOS( COS( RADIANS(O$63))  *  COS( RADIANS($B87))))</f>
        <v>158.909418821001</v>
      </c>
      <c r="P87" s="209" t="n">
        <f aca="false">DEGREES( ACOS( COS( RADIANS(P$63))  *  COS( RADIANS($B87))))</f>
        <v>165</v>
      </c>
      <c r="Q87" s="210" t="n">
        <f aca="false">DEGREES( ACOS( COS( RADIANS(Q$63))  *  COS( RADIANS($B87))))</f>
        <v>158.909418821001</v>
      </c>
      <c r="R87" s="210" t="n">
        <f aca="false">DEGREES( ACOS( COS( RADIANS(R$63))  *  COS( RADIANS($B87))))</f>
        <v>146.774057796712</v>
      </c>
      <c r="S87" s="210" t="n">
        <f aca="false">DEGREES( ACOS( COS( RADIANS(S$63))  *  COS( RADIANS($B87))))</f>
        <v>133.079517141871</v>
      </c>
      <c r="T87" s="210" t="n">
        <f aca="false">DEGREES( ACOS( COS( RADIANS(T$63))  *  COS( RADIANS($B87))))</f>
        <v>118.879094017428</v>
      </c>
      <c r="U87" s="210" t="n">
        <f aca="false">DEGREES( ACOS( COS( RADIANS(U$63))  *  COS( RADIANS($B87))))</f>
        <v>104.47751218593</v>
      </c>
      <c r="V87" s="209" t="n">
        <f aca="false">DEGREES( ACOS( COS( RADIANS(V$63))  *  COS( RADIANS($B87))))</f>
        <v>90</v>
      </c>
      <c r="W87" s="210" t="n">
        <f aca="false">DEGREES( ACOS( COS( RADIANS(W$63))  *  COS( RADIANS($B87))))</f>
        <v>75.5224878140701</v>
      </c>
      <c r="X87" s="210" t="n">
        <f aca="false">DEGREES( ACOS( COS( RADIANS(X$63))  *  COS( RADIANS($B87))))</f>
        <v>61.1209059825724</v>
      </c>
      <c r="Y87" s="210" t="n">
        <f aca="false">DEGREES( ACOS( COS( RADIANS(Y$63))  *  COS( RADIANS($B87))))</f>
        <v>46.9204828581291</v>
      </c>
      <c r="Z87" s="210" t="n">
        <f aca="false">DEGREES( ACOS( COS( RADIANS(Z$63))  *  COS( RADIANS($B87))))</f>
        <v>33.2259422032876</v>
      </c>
      <c r="AA87" s="210" t="n">
        <f aca="false">DEGREES( ACOS( COS( RADIANS(AA$63))  *  COS( RADIANS($B87))))</f>
        <v>21.0905811789991</v>
      </c>
      <c r="AB87" s="209" t="n">
        <f aca="false">DEGREES( ACOS( COS( RADIANS(AB$63))  *  COS( RADIANS($B87))))</f>
        <v>15.0000032568284</v>
      </c>
      <c r="AC87" s="195" t="n">
        <f aca="false">DEGREES( ACOS( COS( RADIANS(AC$63))  *  COS( RADIANS($B87))))</f>
        <v>15</v>
      </c>
      <c r="AD87" s="195" t="n">
        <f aca="false">DEGREES( ACOS( COS( RADIANS(AD$63))  *  COS( RADIANS($B87))))</f>
        <v>15</v>
      </c>
      <c r="AE87" s="1"/>
      <c r="AF87" s="1"/>
      <c r="AG87" s="1"/>
      <c r="AH87" s="1"/>
      <c r="AI87" s="1"/>
      <c r="AJ87" s="1"/>
      <c r="AK87" s="1"/>
      <c r="AL87" s="1"/>
    </row>
    <row r="88" customFormat="false" ht="12.75" hidden="false" customHeight="true" outlineLevel="0" collapsed="false">
      <c r="A88" s="193" t="n">
        <f aca="false">RADIANS(MOD(B88-180,-360)+180)</f>
        <v>-0.000174532925199274</v>
      </c>
      <c r="B88" s="198" t="n">
        <v>359.99</v>
      </c>
      <c r="C88" s="1"/>
      <c r="D88" s="209" t="n">
        <f aca="false">DEGREES( ACOS( COS( RADIANS(D$63))  *  COS( RADIANS($B88))))</f>
        <v>0.0100498756078044</v>
      </c>
      <c r="E88" s="209" t="n">
        <f aca="false">DEGREES( ACOS( COS( RADIANS(E$63))  *  COS( RADIANS($B88))))</f>
        <v>15.0000032568284</v>
      </c>
      <c r="F88" s="209" t="n">
        <f aca="false">DEGREES( ACOS( COS( RADIANS(F$63))  *  COS( RADIANS($B88))))</f>
        <v>30.0000015114994</v>
      </c>
      <c r="G88" s="209" t="n">
        <f aca="false">DEGREES( ACOS( COS( RADIANS(G$63))  *  COS( RADIANS($B88))))</f>
        <v>45.0000008726646</v>
      </c>
      <c r="H88" s="209" t="n">
        <f aca="false">DEGREES( ACOS( COS( RADIANS(H$63))  *  COS( RADIANS($B88))))</f>
        <v>60.0000005038332</v>
      </c>
      <c r="I88" s="209" t="n">
        <f aca="false">DEGREES( ACOS( COS( RADIANS(I$63))  *  COS( RADIANS($B88))))</f>
        <v>75.0000002338298</v>
      </c>
      <c r="J88" s="209" t="n">
        <f aca="false">DEGREES( ACOS( COS( RADIANS(J$63))  *  COS( RADIANS($B88))))</f>
        <v>90</v>
      </c>
      <c r="K88" s="209" t="n">
        <f aca="false">DEGREES( ACOS( COS( RADIANS(K$63))  *  COS( RADIANS($B88))))</f>
        <v>104.99999976617</v>
      </c>
      <c r="L88" s="209" t="n">
        <f aca="false">DEGREES( ACOS( COS( RADIANS(L$63))  *  COS( RADIANS($B88))))</f>
        <v>119.999999496167</v>
      </c>
      <c r="M88" s="209" t="n">
        <f aca="false">DEGREES( ACOS( COS( RADIANS(M$63))  *  COS( RADIANS($B88))))</f>
        <v>134.999999127335</v>
      </c>
      <c r="N88" s="209" t="n">
        <f aca="false">DEGREES( ACOS( COS( RADIANS(N$63))  *  COS( RADIANS($B88))))</f>
        <v>149.999998488501</v>
      </c>
      <c r="O88" s="209" t="n">
        <f aca="false">DEGREES( ACOS( COS( RADIANS(O$63))  *  COS( RADIANS($B88))))</f>
        <v>164.999996743172</v>
      </c>
      <c r="P88" s="209" t="n">
        <f aca="false">DEGREES( ACOS( COS( RADIANS(P$63))  *  COS( RADIANS($B88))))</f>
        <v>179.990000000017</v>
      </c>
      <c r="Q88" s="209" t="n">
        <f aca="false">DEGREES( ACOS( COS( RADIANS(Q$63))  *  COS( RADIANS($B88))))</f>
        <v>164.999996743172</v>
      </c>
      <c r="R88" s="209" t="n">
        <f aca="false">DEGREES( ACOS( COS( RADIANS(R$63))  *  COS( RADIANS($B88))))</f>
        <v>149.999998488501</v>
      </c>
      <c r="S88" s="209" t="n">
        <f aca="false">DEGREES( ACOS( COS( RADIANS(S$63))  *  COS( RADIANS($B88))))</f>
        <v>134.999999127335</v>
      </c>
      <c r="T88" s="209" t="n">
        <f aca="false">DEGREES( ACOS( COS( RADIANS(T$63))  *  COS( RADIANS($B88))))</f>
        <v>119.999999496167</v>
      </c>
      <c r="U88" s="209" t="n">
        <f aca="false">DEGREES( ACOS( COS( RADIANS(U$63))  *  COS( RADIANS($B88))))</f>
        <v>104.99999976617</v>
      </c>
      <c r="V88" s="209" t="n">
        <f aca="false">DEGREES( ACOS( COS( RADIANS(V$63))  *  COS( RADIANS($B88))))</f>
        <v>90</v>
      </c>
      <c r="W88" s="209" t="n">
        <f aca="false">DEGREES( ACOS( COS( RADIANS(W$63))  *  COS( RADIANS($B88))))</f>
        <v>75.0000002338298</v>
      </c>
      <c r="X88" s="209" t="n">
        <f aca="false">DEGREES( ACOS( COS( RADIANS(X$63))  *  COS( RADIANS($B88))))</f>
        <v>60.0000005038332</v>
      </c>
      <c r="Y88" s="209" t="n">
        <f aca="false">DEGREES( ACOS( COS( RADIANS(Y$63))  *  COS( RADIANS($B88))))</f>
        <v>45.0000008726646</v>
      </c>
      <c r="Z88" s="209" t="n">
        <f aca="false">DEGREES( ACOS( COS( RADIANS(Z$63))  *  COS( RADIANS($B88))))</f>
        <v>30.0000015114994</v>
      </c>
      <c r="AA88" s="209" t="n">
        <f aca="false">DEGREES( ACOS( COS( RADIANS(AA$63))  *  COS( RADIANS($B88))))</f>
        <v>15.0000032568284</v>
      </c>
      <c r="AB88" s="209" t="n">
        <f aca="false">DEGREES( ACOS( COS( RADIANS(AB$63))  *  COS( RADIANS($B88))))</f>
        <v>0.0141421355656056</v>
      </c>
      <c r="AC88" s="195" t="n">
        <f aca="false">DEGREES( ACOS( COS( RADIANS(AC$63))  *  COS( RADIANS($B88))))</f>
        <v>0.00999999998265327</v>
      </c>
      <c r="AD88" s="195" t="n">
        <f aca="false">DEGREES( ACOS( COS( RADIANS(AD$63))  *  COS( RADIANS($B88))))</f>
        <v>0.00999999998265327</v>
      </c>
      <c r="AE88" s="1"/>
      <c r="AF88" s="1"/>
      <c r="AG88" s="1"/>
      <c r="AH88" s="1"/>
      <c r="AI88" s="1"/>
      <c r="AJ88" s="1"/>
      <c r="AK88" s="1"/>
      <c r="AL88" s="1"/>
    </row>
    <row r="89" customFormat="false" ht="12.75" hidden="false" customHeight="true" outlineLevel="0" collapsed="false">
      <c r="A89" s="192" t="n">
        <f aca="false">RADIANS(MOD(B89-180,-360)+180)</f>
        <v>0</v>
      </c>
      <c r="B89" s="184" t="n">
        <v>360</v>
      </c>
      <c r="C89" s="1"/>
      <c r="D89" s="195" t="n">
        <f aca="false">DEGREES( ACOS( COS( RADIANS(D$63))  *  COS( RADIANS($B89))))</f>
        <v>0.0010000000370999</v>
      </c>
      <c r="E89" s="195" t="n">
        <f aca="false">DEGREES( ACOS( COS( RADIANS(E$63))  *  COS( RADIANS($B89))))</f>
        <v>15</v>
      </c>
      <c r="F89" s="195" t="n">
        <f aca="false">DEGREES( ACOS( COS( RADIANS(F$63))  *  COS( RADIANS($B89))))</f>
        <v>30</v>
      </c>
      <c r="G89" s="195" t="n">
        <f aca="false">DEGREES( ACOS( COS( RADIANS(G$63))  *  COS( RADIANS($B89))))</f>
        <v>45</v>
      </c>
      <c r="H89" s="195" t="n">
        <f aca="false">DEGREES( ACOS( COS( RADIANS(H$63))  *  COS( RADIANS($B89))))</f>
        <v>60</v>
      </c>
      <c r="I89" s="195" t="n">
        <f aca="false">DEGREES( ACOS( COS( RADIANS(I$63))  *  COS( RADIANS($B89))))</f>
        <v>75</v>
      </c>
      <c r="J89" s="195" t="n">
        <f aca="false">DEGREES( ACOS( COS( RADIANS(J$63))  *  COS( RADIANS($B89))))</f>
        <v>90</v>
      </c>
      <c r="K89" s="195" t="n">
        <f aca="false">DEGREES( ACOS( COS( RADIANS(K$63))  *  COS( RADIANS($B89))))</f>
        <v>105</v>
      </c>
      <c r="L89" s="195" t="n">
        <f aca="false">DEGREES( ACOS( COS( RADIANS(L$63))  *  COS( RADIANS($B89))))</f>
        <v>120</v>
      </c>
      <c r="M89" s="195" t="n">
        <f aca="false">DEGREES( ACOS( COS( RADIANS(M$63))  *  COS( RADIANS($B89))))</f>
        <v>135</v>
      </c>
      <c r="N89" s="195" t="n">
        <f aca="false">DEGREES( ACOS( COS( RADIANS(N$63))  *  COS( RADIANS($B89))))</f>
        <v>150</v>
      </c>
      <c r="O89" s="195" t="n">
        <f aca="false">DEGREES( ACOS( COS( RADIANS(O$63))  *  COS( RADIANS($B89))))</f>
        <v>165</v>
      </c>
      <c r="P89" s="195" t="n">
        <f aca="false">DEGREES( ACOS( COS( RADIANS(P$63))  *  COS( RADIANS($B89))))</f>
        <v>180</v>
      </c>
      <c r="Q89" s="195" t="n">
        <f aca="false">DEGREES( ACOS( COS( RADIANS(Q$63))  *  COS( RADIANS($B89))))</f>
        <v>165</v>
      </c>
      <c r="R89" s="195" t="n">
        <f aca="false">DEGREES( ACOS( COS( RADIANS(R$63))  *  COS( RADIANS($B89))))</f>
        <v>150</v>
      </c>
      <c r="S89" s="195" t="n">
        <f aca="false">DEGREES( ACOS( COS( RADIANS(S$63))  *  COS( RADIANS($B89))))</f>
        <v>135</v>
      </c>
      <c r="T89" s="195" t="n">
        <f aca="false">DEGREES( ACOS( COS( RADIANS(T$63))  *  COS( RADIANS($B89))))</f>
        <v>120</v>
      </c>
      <c r="U89" s="195" t="n">
        <f aca="false">DEGREES( ACOS( COS( RADIANS(U$63))  *  COS( RADIANS($B89))))</f>
        <v>105</v>
      </c>
      <c r="V89" s="195" t="n">
        <f aca="false">DEGREES( ACOS( COS( RADIANS(V$63))  *  COS( RADIANS($B89))))</f>
        <v>90</v>
      </c>
      <c r="W89" s="195" t="n">
        <f aca="false">DEGREES( ACOS( COS( RADIANS(W$63))  *  COS( RADIANS($B89))))</f>
        <v>75</v>
      </c>
      <c r="X89" s="195" t="n">
        <f aca="false">DEGREES( ACOS( COS( RADIANS(X$63))  *  COS( RADIANS($B89))))</f>
        <v>60</v>
      </c>
      <c r="Y89" s="195" t="n">
        <f aca="false">DEGREES( ACOS( COS( RADIANS(Y$63))  *  COS( RADIANS($B89))))</f>
        <v>45</v>
      </c>
      <c r="Z89" s="195" t="n">
        <f aca="false">DEGREES( ACOS( COS( RADIANS(Z$63))  *  COS( RADIANS($B89))))</f>
        <v>30</v>
      </c>
      <c r="AA89" s="195" t="n">
        <f aca="false">DEGREES( ACOS( COS( RADIANS(AA$63))  *  COS( RADIANS($B89))))</f>
        <v>15</v>
      </c>
      <c r="AB89" s="195" t="n">
        <f aca="false">DEGREES( ACOS( COS( RADIANS(AB$63))  *  COS( RADIANS($B89))))</f>
        <v>0.00999999998265327</v>
      </c>
      <c r="AC89" s="195" t="n">
        <f aca="false">DEGREES( ACOS( COS( RADIANS(AC$63))  *  COS( RADIANS($B89))))</f>
        <v>0</v>
      </c>
      <c r="AD89" s="195" t="n">
        <f aca="false">DEGREES( ACOS( COS( RADIANS(AD$63))  *  COS( RADIANS($B89))))</f>
        <v>0</v>
      </c>
      <c r="AE89" s="1"/>
      <c r="AF89" s="1"/>
      <c r="AG89" s="1"/>
      <c r="AH89" s="1"/>
      <c r="AI89" s="1"/>
      <c r="AJ89" s="1"/>
      <c r="AK89" s="1"/>
      <c r="AL89" s="1"/>
    </row>
    <row r="90" customFormat="false" ht="12.75" hidden="false" customHeight="true" outlineLevel="0" collapsed="false">
      <c r="A90" s="192" t="n">
        <f aca="false">RADIANS(MOD(B90-180,-360)+180)</f>
        <v>0</v>
      </c>
      <c r="B90" s="184" t="n">
        <v>0</v>
      </c>
      <c r="C90" s="1"/>
      <c r="D90" s="195" t="n">
        <f aca="false">DEGREES( ACOS( COS( RADIANS(D$63))  *  COS( RADIANS($B90))))</f>
        <v>0.0010000000370999</v>
      </c>
      <c r="E90" s="195" t="n">
        <f aca="false">DEGREES( ACOS( COS( RADIANS(E$63))  *  COS( RADIANS($B90))))</f>
        <v>15</v>
      </c>
      <c r="F90" s="195" t="n">
        <f aca="false">DEGREES( ACOS( COS( RADIANS(F$63))  *  COS( RADIANS($B90))))</f>
        <v>30</v>
      </c>
      <c r="G90" s="195" t="n">
        <f aca="false">DEGREES( ACOS( COS( RADIANS(G$63))  *  COS( RADIANS($B90))))</f>
        <v>45</v>
      </c>
      <c r="H90" s="195" t="n">
        <f aca="false">DEGREES( ACOS( COS( RADIANS(H$63))  *  COS( RADIANS($B90))))</f>
        <v>60</v>
      </c>
      <c r="I90" s="195" t="n">
        <f aca="false">DEGREES( ACOS( COS( RADIANS(I$63))  *  COS( RADIANS($B90))))</f>
        <v>75</v>
      </c>
      <c r="J90" s="195" t="n">
        <f aca="false">DEGREES( ACOS( COS( RADIANS(J$63))  *  COS( RADIANS($B90))))</f>
        <v>90</v>
      </c>
      <c r="K90" s="195" t="n">
        <f aca="false">DEGREES( ACOS( COS( RADIANS(K$63))  *  COS( RADIANS($B90))))</f>
        <v>105</v>
      </c>
      <c r="L90" s="195" t="n">
        <f aca="false">DEGREES( ACOS( COS( RADIANS(L$63))  *  COS( RADIANS($B90))))</f>
        <v>120</v>
      </c>
      <c r="M90" s="195" t="n">
        <f aca="false">DEGREES( ACOS( COS( RADIANS(M$63))  *  COS( RADIANS($B90))))</f>
        <v>135</v>
      </c>
      <c r="N90" s="195" t="n">
        <f aca="false">DEGREES( ACOS( COS( RADIANS(N$63))  *  COS( RADIANS($B90))))</f>
        <v>150</v>
      </c>
      <c r="O90" s="195" t="n">
        <f aca="false">DEGREES( ACOS( COS( RADIANS(O$63))  *  COS( RADIANS($B90))))</f>
        <v>165</v>
      </c>
      <c r="P90" s="195" t="n">
        <f aca="false">DEGREES( ACOS( COS( RADIANS(P$63))  *  COS( RADIANS($B90))))</f>
        <v>180</v>
      </c>
      <c r="Q90" s="195" t="n">
        <f aca="false">DEGREES( ACOS( COS( RADIANS(Q$63))  *  COS( RADIANS($B90))))</f>
        <v>165</v>
      </c>
      <c r="R90" s="195" t="n">
        <f aca="false">DEGREES( ACOS( COS( RADIANS(R$63))  *  COS( RADIANS($B90))))</f>
        <v>150</v>
      </c>
      <c r="S90" s="195" t="n">
        <f aca="false">DEGREES( ACOS( COS( RADIANS(S$63))  *  COS( RADIANS($B90))))</f>
        <v>135</v>
      </c>
      <c r="T90" s="195" t="n">
        <f aca="false">DEGREES( ACOS( COS( RADIANS(T$63))  *  COS( RADIANS($B90))))</f>
        <v>120</v>
      </c>
      <c r="U90" s="195" t="n">
        <f aca="false">DEGREES( ACOS( COS( RADIANS(U$63))  *  COS( RADIANS($B90))))</f>
        <v>105</v>
      </c>
      <c r="V90" s="195" t="n">
        <f aca="false">DEGREES( ACOS( COS( RADIANS(V$63))  *  COS( RADIANS($B90))))</f>
        <v>90</v>
      </c>
      <c r="W90" s="195" t="n">
        <f aca="false">DEGREES( ACOS( COS( RADIANS(W$63))  *  COS( RADIANS($B90))))</f>
        <v>75</v>
      </c>
      <c r="X90" s="195" t="n">
        <f aca="false">DEGREES( ACOS( COS( RADIANS(X$63))  *  COS( RADIANS($B90))))</f>
        <v>60</v>
      </c>
      <c r="Y90" s="195" t="n">
        <f aca="false">DEGREES( ACOS( COS( RADIANS(Y$63))  *  COS( RADIANS($B90))))</f>
        <v>45</v>
      </c>
      <c r="Z90" s="195" t="n">
        <f aca="false">DEGREES( ACOS( COS( RADIANS(Z$63))  *  COS( RADIANS($B90))))</f>
        <v>30</v>
      </c>
      <c r="AA90" s="195" t="n">
        <f aca="false">DEGREES( ACOS( COS( RADIANS(AA$63))  *  COS( RADIANS($B90))))</f>
        <v>15</v>
      </c>
      <c r="AB90" s="195" t="n">
        <f aca="false">DEGREES( ACOS( COS( RADIANS(AB$63))  *  COS( RADIANS($B90))))</f>
        <v>0.00999999998265327</v>
      </c>
      <c r="AC90" s="195" t="n">
        <f aca="false">DEGREES( ACOS( COS( RADIANS(AC$63))  *  COS( RADIANS($B90))))</f>
        <v>0</v>
      </c>
      <c r="AD90" s="195" t="n">
        <f aca="false">DEGREES( ACOS( COS( RADIANS(AD$63))  *  COS( RADIANS($B90))))</f>
        <v>0</v>
      </c>
      <c r="AE90" s="1"/>
      <c r="AF90" s="1"/>
      <c r="AG90" s="1"/>
      <c r="AH90" s="1"/>
      <c r="AI90" s="1"/>
      <c r="AJ90" s="1"/>
      <c r="AK90" s="1"/>
      <c r="AL90" s="1"/>
    </row>
    <row r="91" customFormat="false" ht="12.75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customFormat="false" ht="12.75" hidden="false" customHeight="tru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customFormat="false" ht="12.75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customFormat="false" ht="12.75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customFormat="false" ht="12.75" hidden="false" customHeight="true" outlineLevel="0" collapsed="false">
      <c r="A95" s="163"/>
      <c r="B95" s="1"/>
      <c r="C95" s="163"/>
      <c r="D95" s="1"/>
      <c r="E95" s="1"/>
      <c r="F95" s="1"/>
      <c r="G95" s="1"/>
      <c r="H95" s="53"/>
      <c r="I95" s="5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customFormat="false" ht="12.75" hidden="false" customHeight="true" outlineLevel="0" collapsed="false">
      <c r="A96" s="163"/>
      <c r="B96" s="1"/>
      <c r="C96" s="163"/>
      <c r="D96" s="1"/>
      <c r="E96" s="1"/>
      <c r="F96" s="1"/>
      <c r="G96" s="1"/>
      <c r="H96" s="53"/>
      <c r="I96" s="5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customFormat="false" ht="12.75" hidden="false" customHeight="true" outlineLevel="0" collapsed="false">
      <c r="A97" s="163"/>
      <c r="B97" s="1"/>
      <c r="C97" s="163"/>
      <c r="D97" s="1"/>
      <c r="E97" s="1"/>
      <c r="F97" s="1"/>
      <c r="G97" s="1"/>
      <c r="H97" s="53"/>
      <c r="I97" s="5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customFormat="false" ht="12.75" hidden="false" customHeight="true" outlineLevel="0" collapsed="false">
      <c r="A98" s="163"/>
      <c r="B98" s="1"/>
      <c r="C98" s="163"/>
      <c r="D98" s="1"/>
      <c r="E98" s="1"/>
      <c r="F98" s="1"/>
      <c r="G98" s="1"/>
      <c r="H98" s="53"/>
      <c r="I98" s="5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customFormat="false" ht="12.75" hidden="false" customHeight="true" outlineLevel="0" collapsed="false">
      <c r="A99" s="163"/>
      <c r="B99" s="1"/>
      <c r="C99" s="163"/>
      <c r="D99" s="1"/>
      <c r="E99" s="1"/>
      <c r="F99" s="1"/>
      <c r="G99" s="1"/>
      <c r="H99" s="53"/>
      <c r="I99" s="5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customFormat="false" ht="12.75" hidden="false" customHeight="true" outlineLevel="0" collapsed="false">
      <c r="A100" s="163"/>
      <c r="B100" s="1"/>
      <c r="C100" s="163"/>
      <c r="D100" s="1"/>
      <c r="E100" s="1"/>
      <c r="F100" s="1"/>
      <c r="G100" s="1"/>
      <c r="H100" s="53"/>
      <c r="I100" s="5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customFormat="false" ht="12.75" hidden="false" customHeight="true" outlineLevel="0" collapsed="false">
      <c r="A101" s="163"/>
      <c r="B101" s="1"/>
      <c r="C101" s="163"/>
      <c r="D101" s="1"/>
      <c r="E101" s="1"/>
      <c r="F101" s="1"/>
      <c r="G101" s="1"/>
      <c r="H101" s="53"/>
      <c r="I101" s="5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customFormat="false" ht="12.75" hidden="false" customHeight="true" outlineLevel="0" collapsed="false">
      <c r="A102" s="72"/>
      <c r="B102" s="1"/>
      <c r="C102" s="1"/>
      <c r="D102" s="1"/>
      <c r="E102" s="1"/>
      <c r="F102" s="1"/>
      <c r="G102" s="1"/>
      <c r="H102" s="1"/>
      <c r="I102" s="53"/>
      <c r="J102" s="1"/>
      <c r="K102" s="1"/>
      <c r="L102" s="1"/>
      <c r="M102" s="1"/>
      <c r="N102" s="53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customFormat="false" ht="12.75" hidden="false" customHeight="true" outlineLevel="0" collapsed="false">
      <c r="A103" s="1"/>
      <c r="B103" s="1"/>
      <c r="C103" s="1"/>
      <c r="D103" s="1"/>
      <c r="E103" s="1"/>
      <c r="F103" s="1"/>
      <c r="G103" s="164"/>
      <c r="H103" s="36"/>
      <c r="I103" s="5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customFormat="false" ht="23.8" hidden="false" customHeight="true" outlineLevel="0" collapsed="false">
      <c r="A104" s="1"/>
      <c r="B104" s="1"/>
      <c r="C104" s="166" t="s">
        <v>181</v>
      </c>
      <c r="D104" s="168"/>
      <c r="E104" s="167"/>
      <c r="F104" s="169"/>
      <c r="G104" s="211"/>
      <c r="H104" s="1"/>
      <c r="I104" s="53"/>
      <c r="J104" s="212" t="s">
        <v>182</v>
      </c>
      <c r="K104" s="212"/>
      <c r="L104" s="212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customFormat="false" ht="23.8" hidden="false" customHeight="true" outlineLevel="0" collapsed="false">
      <c r="A105" s="1"/>
      <c r="B105" s="1"/>
      <c r="C105" s="170"/>
      <c r="D105" s="170"/>
      <c r="E105" s="170"/>
      <c r="F105" s="171"/>
      <c r="G105" s="171"/>
      <c r="H105" s="171"/>
      <c r="I105" s="171"/>
      <c r="J105" s="171"/>
      <c r="K105" s="171"/>
      <c r="L105" s="170"/>
      <c r="M105" s="1"/>
      <c r="N105" s="211"/>
      <c r="O105" s="1"/>
      <c r="P105" s="1"/>
      <c r="Q105" s="1"/>
      <c r="R105" s="1"/>
      <c r="S105" s="1"/>
      <c r="T105" s="200" t="s">
        <v>176</v>
      </c>
      <c r="U105" s="1"/>
      <c r="V105" s="1"/>
      <c r="W105" s="1"/>
      <c r="X105" s="1"/>
      <c r="Y105" s="1"/>
      <c r="Z105" s="201" t="s">
        <v>177</v>
      </c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customFormat="false" ht="23.8" hidden="false" customHeight="true" outlineLevel="0" collapsed="false">
      <c r="A106" s="172" t="s">
        <v>163</v>
      </c>
      <c r="B106" s="1"/>
      <c r="C106" s="173"/>
      <c r="D106" s="170"/>
      <c r="E106" s="174" t="s">
        <v>164</v>
      </c>
      <c r="F106" s="171"/>
      <c r="G106" s="171"/>
      <c r="H106" s="175" t="s">
        <v>165</v>
      </c>
      <c r="I106" s="171"/>
      <c r="J106" s="171"/>
      <c r="K106" s="170"/>
      <c r="L106" s="170"/>
      <c r="M106" s="1"/>
      <c r="N106" s="211"/>
      <c r="O106" s="1"/>
      <c r="P106" s="1"/>
      <c r="Q106" s="1"/>
      <c r="R106" s="1"/>
      <c r="S106" s="1"/>
      <c r="T106" s="202" t="s">
        <v>178</v>
      </c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customFormat="false" ht="23.8" hidden="false" customHeight="true" outlineLevel="0" collapsed="false">
      <c r="A107" s="172" t="s">
        <v>166</v>
      </c>
      <c r="B107" s="1"/>
      <c r="C107" s="173"/>
      <c r="D107" s="173"/>
      <c r="E107" s="170"/>
      <c r="F107" s="171"/>
      <c r="G107" s="176"/>
      <c r="H107" s="170"/>
      <c r="I107" s="170"/>
      <c r="J107" s="170"/>
      <c r="K107" s="170"/>
      <c r="L107" s="170"/>
      <c r="M107" s="1"/>
      <c r="N107" s="211"/>
      <c r="O107" s="1"/>
      <c r="P107" s="1"/>
      <c r="Q107" s="1"/>
      <c r="R107" s="1"/>
      <c r="S107" s="1"/>
      <c r="T107" s="203" t="s">
        <v>179</v>
      </c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customFormat="false" ht="23.8" hidden="false" customHeight="true" outlineLevel="0" collapsed="false">
      <c r="A108" s="1"/>
      <c r="B108" s="1"/>
      <c r="C108" s="170"/>
      <c r="D108" s="173"/>
      <c r="E108" s="177"/>
      <c r="F108" s="213" t="s">
        <v>183</v>
      </c>
      <c r="G108" s="170"/>
      <c r="H108" s="170"/>
      <c r="I108" s="170"/>
      <c r="J108" s="170"/>
      <c r="K108" s="170"/>
      <c r="L108" s="170"/>
      <c r="M108" s="1"/>
      <c r="N108" s="179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customFormat="false" ht="23.8" hidden="false" customHeight="true" outlineLevel="0" collapsed="false">
      <c r="A109" s="1"/>
      <c r="B109" s="1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customFormat="false" ht="23.8" hidden="false" customHeight="true" outlineLevel="0" collapsed="false">
      <c r="A110" s="1"/>
      <c r="B110" s="1"/>
      <c r="C110" s="170"/>
      <c r="D110" s="173"/>
      <c r="E110" s="170"/>
      <c r="F110" s="170"/>
      <c r="G110" s="170"/>
      <c r="H110" s="170"/>
      <c r="I110" s="170"/>
      <c r="J110" s="170"/>
      <c r="K110" s="170"/>
      <c r="L110" s="170"/>
      <c r="M110" s="1"/>
      <c r="N110" s="18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customFormat="false" ht="19.3" hidden="false" customHeight="true" outlineLevel="0" collapsed="false">
      <c r="A111" s="1"/>
      <c r="B111" s="1"/>
      <c r="C111" s="1"/>
      <c r="D111" s="1"/>
      <c r="E111" s="131"/>
      <c r="F111" s="131"/>
      <c r="G111" s="131"/>
      <c r="H111" s="131"/>
      <c r="I111" s="1"/>
      <c r="J111" s="1"/>
      <c r="K111" s="1"/>
      <c r="L111" s="1"/>
      <c r="M111" s="1"/>
      <c r="N111" s="1"/>
      <c r="O111" s="1"/>
      <c r="P111" s="1"/>
      <c r="Q111" s="182" t="n">
        <v>195</v>
      </c>
      <c r="R111" s="182" t="n">
        <v>210</v>
      </c>
      <c r="S111" s="182" t="n">
        <v>225</v>
      </c>
      <c r="T111" s="182" t="n">
        <v>240</v>
      </c>
      <c r="U111" s="182" t="n">
        <v>255</v>
      </c>
      <c r="V111" s="182" t="n">
        <v>270</v>
      </c>
      <c r="W111" s="182" t="n">
        <v>285</v>
      </c>
      <c r="X111" s="182" t="n">
        <v>300</v>
      </c>
      <c r="Y111" s="182" t="n">
        <v>315</v>
      </c>
      <c r="Z111" s="182" t="n">
        <v>330</v>
      </c>
      <c r="AA111" s="182" t="n">
        <v>345</v>
      </c>
      <c r="AB111" s="183" t="n">
        <v>359.99</v>
      </c>
      <c r="AC111" s="184" t="n">
        <v>360</v>
      </c>
      <c r="AD111" s="185" t="s">
        <v>169</v>
      </c>
      <c r="AE111" s="1"/>
      <c r="AF111" s="1"/>
      <c r="AG111" s="1"/>
      <c r="AH111" s="1"/>
      <c r="AI111" s="1"/>
      <c r="AJ111" s="1"/>
      <c r="AK111" s="1"/>
      <c r="AL111" s="1"/>
    </row>
    <row r="112" customFormat="false" ht="19.3" hidden="false" customHeight="true" outlineLevel="0" collapsed="false">
      <c r="A112" s="1"/>
      <c r="B112" s="186"/>
      <c r="C112" s="187" t="s">
        <v>171</v>
      </c>
      <c r="D112" s="188" t="n">
        <v>0.001</v>
      </c>
      <c r="E112" s="182" t="n">
        <v>15</v>
      </c>
      <c r="F112" s="182" t="n">
        <v>30</v>
      </c>
      <c r="G112" s="182" t="n">
        <v>45</v>
      </c>
      <c r="H112" s="182" t="n">
        <v>60</v>
      </c>
      <c r="I112" s="182" t="n">
        <v>75</v>
      </c>
      <c r="J112" s="182" t="n">
        <v>90</v>
      </c>
      <c r="K112" s="182" t="n">
        <v>105</v>
      </c>
      <c r="L112" s="182" t="n">
        <v>120</v>
      </c>
      <c r="M112" s="182" t="n">
        <v>135</v>
      </c>
      <c r="N112" s="182" t="n">
        <v>150</v>
      </c>
      <c r="O112" s="182" t="n">
        <v>165</v>
      </c>
      <c r="P112" s="182" t="n">
        <v>180</v>
      </c>
      <c r="Q112" s="189" t="n">
        <v>-165</v>
      </c>
      <c r="R112" s="189" t="n">
        <v>-150</v>
      </c>
      <c r="S112" s="189" t="n">
        <v>-135</v>
      </c>
      <c r="T112" s="189" t="n">
        <v>-120</v>
      </c>
      <c r="U112" s="189" t="n">
        <v>-105</v>
      </c>
      <c r="V112" s="189" t="n">
        <v>-90</v>
      </c>
      <c r="W112" s="189" t="n">
        <v>-75</v>
      </c>
      <c r="X112" s="189" t="n">
        <v>-60</v>
      </c>
      <c r="Y112" s="189" t="n">
        <v>-45</v>
      </c>
      <c r="Z112" s="189" t="n">
        <v>-30</v>
      </c>
      <c r="AA112" s="189" t="n">
        <v>-15</v>
      </c>
      <c r="AB112" s="183" t="n">
        <v>-0.01</v>
      </c>
      <c r="AC112" s="184" t="n">
        <v>0</v>
      </c>
      <c r="AD112" s="184" t="n">
        <v>0</v>
      </c>
      <c r="AE112" s="1"/>
      <c r="AF112" s="1"/>
      <c r="AG112" s="1"/>
      <c r="AH112" s="1"/>
      <c r="AI112" s="1"/>
      <c r="AJ112" s="1"/>
      <c r="AK112" s="1"/>
      <c r="AL112" s="1"/>
    </row>
    <row r="113" customFormat="false" ht="19.3" hidden="false" customHeight="true" outlineLevel="0" collapsed="false">
      <c r="A113" s="190"/>
      <c r="B113" s="191" t="s">
        <v>173</v>
      </c>
      <c r="C113" s="1"/>
      <c r="D113" s="192" t="n">
        <f aca="false">RADIANS(MOD(D112-180,-360)+180)</f>
        <v>1.74532925200266E-005</v>
      </c>
      <c r="E113" s="192" t="n">
        <f aca="false">RADIANS(MOD(E112-180,-360)+180)</f>
        <v>0.261799387799149</v>
      </c>
      <c r="F113" s="192" t="n">
        <f aca="false">RADIANS(MOD(F112-180,-360)+180)</f>
        <v>0.523598775598299</v>
      </c>
      <c r="G113" s="192" t="n">
        <f aca="false">RADIANS(MOD(G112-180,-360)+180)</f>
        <v>0.785398163397448</v>
      </c>
      <c r="H113" s="192" t="n">
        <f aca="false">RADIANS(MOD(H112-180,-360)+180)</f>
        <v>1.0471975511966</v>
      </c>
      <c r="I113" s="192" t="n">
        <f aca="false">RADIANS(MOD(I112-180,-360)+180)</f>
        <v>1.30899693899575</v>
      </c>
      <c r="J113" s="192" t="n">
        <f aca="false">RADIANS(MOD(J112-180,-360)+180)</f>
        <v>1.5707963267949</v>
      </c>
      <c r="K113" s="192" t="n">
        <f aca="false">RADIANS(MOD(K112-180,-360)+180)</f>
        <v>1.83259571459405</v>
      </c>
      <c r="L113" s="192" t="n">
        <f aca="false">RADIANS(MOD(L112-180,-360)+180)</f>
        <v>2.0943951023932</v>
      </c>
      <c r="M113" s="192" t="n">
        <f aca="false">RADIANS(MOD(M112-180,-360)+180)</f>
        <v>2.35619449019234</v>
      </c>
      <c r="N113" s="192" t="n">
        <f aca="false">RADIANS(MOD(N112-180,-360)+180)</f>
        <v>2.61799387799149</v>
      </c>
      <c r="O113" s="192" t="n">
        <f aca="false">RADIANS(MOD(O112-180,-360)+180)</f>
        <v>2.87979326579064</v>
      </c>
      <c r="P113" s="192" t="n">
        <f aca="false">RADIANS(MOD(P112-180,-360)+180)</f>
        <v>3.14159265358979</v>
      </c>
      <c r="Q113" s="193" t="n">
        <f aca="false">RADIANS(MOD(Q112-180,-360)+180)</f>
        <v>-2.87979326579064</v>
      </c>
      <c r="R113" s="193" t="n">
        <f aca="false">RADIANS(MOD(R112-180,-360)+180)</f>
        <v>-2.61799387799149</v>
      </c>
      <c r="S113" s="193" t="n">
        <f aca="false">RADIANS(MOD(S112-180,-360)+180)</f>
        <v>-2.35619449019234</v>
      </c>
      <c r="T113" s="193" t="n">
        <f aca="false">RADIANS(MOD(T112-180,-360)+180)</f>
        <v>-2.0943951023932</v>
      </c>
      <c r="U113" s="193" t="n">
        <f aca="false">RADIANS(MOD(U112-180,-360)+180)</f>
        <v>-1.83259571459405</v>
      </c>
      <c r="V113" s="193" t="n">
        <f aca="false">RADIANS(MOD(V112-180,-360)+180)</f>
        <v>-1.5707963267949</v>
      </c>
      <c r="W113" s="193" t="n">
        <f aca="false">RADIANS(MOD(W112-180,-360)+180)</f>
        <v>-1.30899693899575</v>
      </c>
      <c r="X113" s="193" t="n">
        <f aca="false">RADIANS(MOD(X112-180,-360)+180)</f>
        <v>-1.0471975511966</v>
      </c>
      <c r="Y113" s="193" t="n">
        <f aca="false">RADIANS(MOD(Y112-180,-360)+180)</f>
        <v>-0.785398163397448</v>
      </c>
      <c r="Z113" s="193" t="n">
        <f aca="false">RADIANS(MOD(Z112-180,-360)+180)</f>
        <v>-0.523598775598299</v>
      </c>
      <c r="AA113" s="193" t="n">
        <f aca="false">RADIANS(MOD(AA112-180,-360)+180)</f>
        <v>-0.261799387799149</v>
      </c>
      <c r="AB113" s="193" t="n">
        <f aca="false">RADIANS(MOD(AB112-180,-360)+180)</f>
        <v>-0.000174532925199274</v>
      </c>
      <c r="AC113" s="193" t="n">
        <f aca="false">RADIANS(MOD(AC112-180,-360)+180)</f>
        <v>0</v>
      </c>
      <c r="AD113" s="193" t="n">
        <f aca="false">RADIANS(MOD(AD112-180,-360)+180)</f>
        <v>0</v>
      </c>
      <c r="AE113" s="1"/>
      <c r="AF113" s="1"/>
      <c r="AG113" s="1"/>
      <c r="AH113" s="1"/>
      <c r="AI113" s="1"/>
      <c r="AJ113" s="1"/>
      <c r="AK113" s="1"/>
      <c r="AL113" s="1"/>
    </row>
    <row r="114" customFormat="false" ht="12.75" hidden="false" customHeight="true" outlineLevel="0" collapsed="false">
      <c r="A114" s="192" t="n">
        <f aca="false">RADIANS(MOD(B114-180,-360)+180)</f>
        <v>1.74532925200266E-005</v>
      </c>
      <c r="B114" s="188" t="n">
        <v>0.001</v>
      </c>
      <c r="C114" s="1"/>
      <c r="D114" s="214" t="n">
        <f aca="false">DEGREES( ACOS( COS(D$112/57.3)  *  COS($B114/57.3)))</f>
        <v>0.00141410949397738</v>
      </c>
      <c r="E114" s="214" t="n">
        <f aca="false">DEGREES( ACOS( COS(E$112/57.3)  *  COS($B114/57.3)))</f>
        <v>14.9988951930588</v>
      </c>
      <c r="F114" s="214" t="n">
        <f aca="false">DEGREES( ACOS( COS(F$112/57.3)  *  COS($B114/57.3)))</f>
        <v>29.9977903360996</v>
      </c>
      <c r="G114" s="214" t="n">
        <f aca="false">DEGREES( ACOS( COS(G$112/57.3)  *  COS($B114/57.3)))</f>
        <v>44.9966854902046</v>
      </c>
      <c r="H114" s="214" t="n">
        <f aca="false">DEGREES( ACOS( COS(H$112/57.3)  *  COS($B114/57.3)))</f>
        <v>59.9955806470095</v>
      </c>
      <c r="I114" s="214" t="n">
        <f aca="false">DEGREES( ACOS( COS(I$112/57.3)  *  COS($B114/57.3)))</f>
        <v>74.9944758048026</v>
      </c>
      <c r="J114" s="214" t="n">
        <f aca="false">DEGREES( ACOS( COS(J$112/57.3)  *  COS($B114/57.3)))</f>
        <v>89.9933709629575</v>
      </c>
      <c r="K114" s="214" t="n">
        <f aca="false">DEGREES( ACOS( COS(K$112/57.3)  *  COS($B114/57.3)))</f>
        <v>104.992266121113</v>
      </c>
      <c r="L114" s="214" t="n">
        <f aca="false">DEGREES( ACOS( COS(L$112/57.3)  *  COS($B114/57.3)))</f>
        <v>119.991161278906</v>
      </c>
      <c r="M114" s="214" t="n">
        <f aca="false">DEGREES( ACOS( COS(M$112/57.3)  *  COS($B114/57.3)))</f>
        <v>134.990056435712</v>
      </c>
      <c r="N114" s="214" t="n">
        <f aca="false">DEGREES( ACOS( COS(N$112/57.3)  *  COS($B114/57.3)))</f>
        <v>149.988951589822</v>
      </c>
      <c r="O114" s="214" t="n">
        <f aca="false">DEGREES( ACOS( COS(O$112/57.3)  *  COS($B114/57.3)))</f>
        <v>164.987846732884</v>
      </c>
      <c r="P114" s="214" t="n">
        <f aca="false">DEGREES( ACOS( COS(P$112/57.3)  *  COS($B114/57.3)))</f>
        <v>179.986704272066</v>
      </c>
      <c r="Q114" s="214" t="n">
        <f aca="false">DEGREES( ACOS( COS(Q$112/57.3)  *  COS($B114/57.3)))</f>
        <v>164.987846732884</v>
      </c>
      <c r="R114" s="214" t="n">
        <f aca="false">DEGREES( ACOS( COS(R$112/57.3)  *  COS($B114/57.3)))</f>
        <v>149.988951589822</v>
      </c>
      <c r="S114" s="214" t="n">
        <f aca="false">DEGREES( ACOS( COS(S$112/57.3)  *  COS($B114/57.3)))</f>
        <v>134.990056435712</v>
      </c>
      <c r="T114" s="214" t="n">
        <f aca="false">DEGREES( ACOS( COS(T$112/57.3)  *  COS($B114/57.3)))</f>
        <v>119.991161278906</v>
      </c>
      <c r="U114" s="214" t="n">
        <f aca="false">DEGREES( ACOS( COS(U$112/57.3)  *  COS($B114/57.3)))</f>
        <v>104.992266121113</v>
      </c>
      <c r="V114" s="214" t="n">
        <f aca="false">DEGREES( ACOS( COS(V$112/57.3)  *  COS($B114/57.3)))</f>
        <v>89.9933709629575</v>
      </c>
      <c r="W114" s="214" t="n">
        <f aca="false">DEGREES( ACOS( COS(W$112/57.3)  *  COS($B114/57.3)))</f>
        <v>74.9944758048026</v>
      </c>
      <c r="X114" s="214" t="n">
        <f aca="false">DEGREES( ACOS( COS(X$112/57.3)  *  COS($B114/57.3)))</f>
        <v>59.9955806470095</v>
      </c>
      <c r="Y114" s="214" t="n">
        <f aca="false">DEGREES( ACOS( COS(Y$112/57.3)  *  COS($B114/57.3)))</f>
        <v>44.9966854902046</v>
      </c>
      <c r="Z114" s="214" t="n">
        <f aca="false">DEGREES( ACOS( COS(Z$112/57.3)  *  COS($B114/57.3)))</f>
        <v>29.9977903360996</v>
      </c>
      <c r="AA114" s="214" t="n">
        <f aca="false">DEGREES( ACOS( COS(AA$112/57.3)  *  COS($B114/57.3)))</f>
        <v>14.9988951930588</v>
      </c>
      <c r="AB114" s="214" t="n">
        <f aca="false">DEGREES( ACOS( COS(AB$112/57.3)  *  COS($B114/57.3)))</f>
        <v>0.0100491353997454</v>
      </c>
      <c r="AC114" s="195" t="n">
        <f aca="false">DEGREES( ACOS( COS(AC$112/57.3)  *  COS($B114/57.3)))</f>
        <v>0.000999926412518995</v>
      </c>
      <c r="AD114" s="195" t="n">
        <f aca="false">DEGREES( ACOS( COS(AD$112/57.3)  *  COS($B114/57.3)))</f>
        <v>0.000999926412518995</v>
      </c>
      <c r="AE114" s="1"/>
      <c r="AF114" s="1"/>
      <c r="AG114" s="1"/>
      <c r="AH114" s="1"/>
      <c r="AI114" s="1"/>
      <c r="AJ114" s="1"/>
      <c r="AK114" s="1"/>
      <c r="AL114" s="1"/>
    </row>
    <row r="115" customFormat="false" ht="12.75" hidden="false" customHeight="true" outlineLevel="0" collapsed="false">
      <c r="A115" s="192" t="n">
        <f aca="false">RADIANS(MOD(B115-180,-360)+180)</f>
        <v>0.261799387799149</v>
      </c>
      <c r="B115" s="182" t="n">
        <v>15</v>
      </c>
      <c r="C115" s="1"/>
      <c r="D115" s="214" t="n">
        <f aca="false">DEGREES( ACOS( COS(D$112/57.3)  *  COS($B115/57.3)))</f>
        <v>14.9988951930588</v>
      </c>
      <c r="E115" s="210" t="n">
        <f aca="false">DEGREES( ACOS( COS(E$112/57.3)  *  COS($B115/57.3)))</f>
        <v>21.0890460099858</v>
      </c>
      <c r="F115" s="210" t="n">
        <f aca="false">DEGREES( ACOS( COS(F$112/57.3)  *  COS($B115/57.3)))</f>
        <v>33.2235426082134</v>
      </c>
      <c r="G115" s="210" t="n">
        <f aca="false">DEGREES( ACOS( COS(G$112/57.3)  *  COS($B115/57.3)))</f>
        <v>46.9171065672377</v>
      </c>
      <c r="H115" s="210" t="n">
        <f aca="false">DEGREES( ACOS( COS(H$112/57.3)  *  COS($B115/57.3)))</f>
        <v>61.1165207889526</v>
      </c>
      <c r="I115" s="210" t="n">
        <f aca="false">DEGREES( ACOS( COS(I$112/57.3)  *  COS($B115/57.3)))</f>
        <v>75.5170881753803</v>
      </c>
      <c r="J115" s="214" t="n">
        <f aca="false">DEGREES( ACOS( COS(J$112/57.3)  *  COS($B115/57.3)))</f>
        <v>89.9935968088341</v>
      </c>
      <c r="K115" s="210" t="n">
        <f aca="false">DEGREES( ACOS( COS(K$112/57.3)  *  COS($B115/57.3)))</f>
        <v>104.470136118497</v>
      </c>
      <c r="L115" s="210" t="n">
        <f aca="false">DEGREES( ACOS( COS(L$112/57.3)  *  COS($B115/57.3)))</f>
        <v>118.870813410951</v>
      </c>
      <c r="M115" s="210" t="n">
        <f aca="false">DEGREES( ACOS( COS(M$112/57.3)  *  COS($B115/57.3)))</f>
        <v>133.070495423561</v>
      </c>
      <c r="N115" s="210" t="n">
        <f aca="false">DEGREES( ACOS( COS(N$112/57.3)  *  COS($B115/57.3)))</f>
        <v>146.764771011389</v>
      </c>
      <c r="O115" s="210" t="n">
        <f aca="false">DEGREES( ACOS( COS(O$112/57.3)  *  COS($B115/57.3)))</f>
        <v>158.901740906834</v>
      </c>
      <c r="P115" s="214" t="n">
        <f aca="false">DEGREES( ACOS( COS(P$112/57.3)  *  COS($B115/57.3)))</f>
        <v>165.001099114326</v>
      </c>
      <c r="Q115" s="210" t="n">
        <f aca="false">DEGREES( ACOS( COS(Q$112/57.3)  *  COS($B115/57.3)))</f>
        <v>158.901740906834</v>
      </c>
      <c r="R115" s="210" t="n">
        <f aca="false">DEGREES( ACOS( COS(R$112/57.3)  *  COS($B115/57.3)))</f>
        <v>146.764771011389</v>
      </c>
      <c r="S115" s="210" t="n">
        <f aca="false">DEGREES( ACOS( COS(S$112/57.3)  *  COS($B115/57.3)))</f>
        <v>133.070495423561</v>
      </c>
      <c r="T115" s="210" t="n">
        <f aca="false">DEGREES( ACOS( COS(T$112/57.3)  *  COS($B115/57.3)))</f>
        <v>118.870813410951</v>
      </c>
      <c r="U115" s="210" t="n">
        <f aca="false">DEGREES( ACOS( COS(U$112/57.3)  *  COS($B115/57.3)))</f>
        <v>104.470136118497</v>
      </c>
      <c r="V115" s="214" t="n">
        <f aca="false">DEGREES( ACOS( COS(V$112/57.3)  *  COS($B115/57.3)))</f>
        <v>89.9935968088341</v>
      </c>
      <c r="W115" s="210" t="n">
        <f aca="false">DEGREES( ACOS( COS(W$112/57.3)  *  COS($B115/57.3)))</f>
        <v>75.5170881753803</v>
      </c>
      <c r="X115" s="210" t="n">
        <f aca="false">DEGREES( ACOS( COS(X$112/57.3)  *  COS($B115/57.3)))</f>
        <v>61.1165207889526</v>
      </c>
      <c r="Y115" s="210" t="n">
        <f aca="false">DEGREES( ACOS( COS(Y$112/57.3)  *  COS($B115/57.3)))</f>
        <v>46.9171065672377</v>
      </c>
      <c r="Z115" s="210" t="n">
        <f aca="false">DEGREES( ACOS( COS(Z$112/57.3)  *  COS($B115/57.3)))</f>
        <v>33.2235426082134</v>
      </c>
      <c r="AA115" s="210" t="n">
        <f aca="false">DEGREES( ACOS( COS(AA$112/57.3)  *  COS($B115/57.3)))</f>
        <v>21.0890460099858</v>
      </c>
      <c r="AB115" s="214" t="n">
        <f aca="false">DEGREES( ACOS( COS(AB$112/57.3)  *  COS($B115/57.3)))</f>
        <v>14.9988984170926</v>
      </c>
      <c r="AC115" s="195" t="n">
        <f aca="false">DEGREES( ACOS( COS(AC$112/57.3)  *  COS($B115/57.3)))</f>
        <v>14.9988951604928</v>
      </c>
      <c r="AD115" s="195" t="n">
        <f aca="false">DEGREES( ACOS( COS(AD$112/57.3)  *  COS($B115/57.3)))</f>
        <v>14.9988951604928</v>
      </c>
      <c r="AE115" s="1"/>
      <c r="AF115" s="1"/>
      <c r="AG115" s="1"/>
      <c r="AH115" s="1"/>
      <c r="AI115" s="1"/>
      <c r="AJ115" s="1"/>
      <c r="AK115" s="1"/>
      <c r="AL115" s="1"/>
    </row>
    <row r="116" customFormat="false" ht="12.75" hidden="false" customHeight="true" outlineLevel="0" collapsed="false">
      <c r="A116" s="192" t="n">
        <f aca="false">RADIANS(MOD(B116-180,-360)+180)</f>
        <v>0.523598775598299</v>
      </c>
      <c r="B116" s="182" t="n">
        <v>30</v>
      </c>
      <c r="C116" s="1"/>
      <c r="D116" s="214" t="n">
        <f aca="false">DEGREES( ACOS( COS(D$112/57.3)  *  COS($B116/57.3)))</f>
        <v>29.9977903360996</v>
      </c>
      <c r="E116" s="210" t="n">
        <f aca="false">DEGREES( ACOS( COS(E$112/57.3)  *  COS($B116/57.3)))</f>
        <v>33.2235426082134</v>
      </c>
      <c r="F116" s="210" t="n">
        <f aca="false">DEGREES( ACOS( COS(F$112/57.3)  *  COS($B116/57.3)))</f>
        <v>41.40672894191</v>
      </c>
      <c r="G116" s="210" t="n">
        <f aca="false">DEGREES( ACOS( COS(G$112/57.3)  *  COS($B116/57.3)))</f>
        <v>52.2352004441044</v>
      </c>
      <c r="H116" s="210" t="n">
        <f aca="false">DEGREES( ACOS( COS(H$112/57.3)  *  COS($B116/57.3)))</f>
        <v>64.3368036872236</v>
      </c>
      <c r="I116" s="210" t="n">
        <f aca="false">DEGREES( ACOS( COS(I$112/57.3)  *  COS($B116/57.3)))</f>
        <v>77.0424251235636</v>
      </c>
      <c r="J116" s="214" t="n">
        <f aca="false">DEGREES( ACOS( COS(J$112/57.3)  *  COS($B116/57.3)))</f>
        <v>89.9942589576969</v>
      </c>
      <c r="K116" s="210" t="n">
        <f aca="false">DEGREES( ACOS( COS(K$112/57.3)  *  COS($B116/57.3)))</f>
        <v>102.946194443245</v>
      </c>
      <c r="L116" s="210" t="n">
        <f aca="false">DEGREES( ACOS( COS(L$112/57.3)  *  COS($B116/57.3)))</f>
        <v>115.652164550475</v>
      </c>
      <c r="M116" s="210" t="n">
        <f aca="false">DEGREES( ACOS( COS(M$112/57.3)  *  COS($B116/57.3)))</f>
        <v>127.754529292431</v>
      </c>
      <c r="N116" s="210" t="n">
        <f aca="false">DEGREES( ACOS( COS(N$112/57.3)  *  COS($B116/57.3)))</f>
        <v>138.584590507028</v>
      </c>
      <c r="O116" s="210" t="n">
        <f aca="false">DEGREES( ACOS( COS(O$112/57.3)  *  COS($B116/57.3)))</f>
        <v>146.7710319517</v>
      </c>
      <c r="P116" s="214" t="n">
        <f aca="false">DEGREES( ACOS( COS(P$112/57.3)  *  COS($B116/57.3)))</f>
        <v>150.002207021917</v>
      </c>
      <c r="Q116" s="210" t="n">
        <f aca="false">DEGREES( ACOS( COS(Q$112/57.3)  *  COS($B116/57.3)))</f>
        <v>146.7710319517</v>
      </c>
      <c r="R116" s="210" t="n">
        <f aca="false">DEGREES( ACOS( COS(R$112/57.3)  *  COS($B116/57.3)))</f>
        <v>138.584590507028</v>
      </c>
      <c r="S116" s="210" t="n">
        <f aca="false">DEGREES( ACOS( COS(S$112/57.3)  *  COS($B116/57.3)))</f>
        <v>127.754529292431</v>
      </c>
      <c r="T116" s="210" t="n">
        <f aca="false">DEGREES( ACOS( COS(T$112/57.3)  *  COS($B116/57.3)))</f>
        <v>115.652164550475</v>
      </c>
      <c r="U116" s="210" t="n">
        <f aca="false">DEGREES( ACOS( COS(U$112/57.3)  *  COS($B116/57.3)))</f>
        <v>102.946194443245</v>
      </c>
      <c r="V116" s="214" t="n">
        <f aca="false">DEGREES( ACOS( COS(V$112/57.3)  *  COS($B116/57.3)))</f>
        <v>89.9942589576969</v>
      </c>
      <c r="W116" s="210" t="n">
        <f aca="false">DEGREES( ACOS( COS(W$112/57.3)  *  COS($B116/57.3)))</f>
        <v>77.0424251235636</v>
      </c>
      <c r="X116" s="210" t="n">
        <f aca="false">DEGREES( ACOS( COS(X$112/57.3)  *  COS($B116/57.3)))</f>
        <v>64.3368036872236</v>
      </c>
      <c r="Y116" s="210" t="n">
        <f aca="false">DEGREES( ACOS( COS(Y$112/57.3)  *  COS($B116/57.3)))</f>
        <v>52.2352004441044</v>
      </c>
      <c r="Z116" s="210" t="n">
        <f aca="false">DEGREES( ACOS( COS(Z$112/57.3)  *  COS($B116/57.3)))</f>
        <v>41.40672894191</v>
      </c>
      <c r="AA116" s="210" t="n">
        <f aca="false">DEGREES( ACOS( COS(AA$112/57.3)  *  COS($B116/57.3)))</f>
        <v>33.2235426082134</v>
      </c>
      <c r="AB116" s="214" t="n">
        <f aca="false">DEGREES( ACOS( COS(AB$112/57.3)  *  COS($B116/57.3)))</f>
        <v>29.9977918323969</v>
      </c>
      <c r="AC116" s="195" t="n">
        <f aca="false">DEGREES( ACOS( COS(AC$112/57.3)  *  COS($B116/57.3)))</f>
        <v>29.9977903209855</v>
      </c>
      <c r="AD116" s="195" t="n">
        <f aca="false">DEGREES( ACOS( COS(AD$112/57.3)  *  COS($B116/57.3)))</f>
        <v>29.9977903209855</v>
      </c>
      <c r="AE116" s="1"/>
      <c r="AF116" s="1"/>
      <c r="AG116" s="1"/>
      <c r="AH116" s="1"/>
      <c r="AI116" s="1"/>
      <c r="AJ116" s="1"/>
      <c r="AK116" s="1"/>
      <c r="AL116" s="1"/>
    </row>
    <row r="117" customFormat="false" ht="12.75" hidden="false" customHeight="true" outlineLevel="0" collapsed="false">
      <c r="A117" s="192" t="n">
        <f aca="false">RADIANS(MOD(B117-180,-360)+180)</f>
        <v>0.785398163397448</v>
      </c>
      <c r="B117" s="182" t="n">
        <v>45</v>
      </c>
      <c r="C117" s="1"/>
      <c r="D117" s="214" t="n">
        <f aca="false">DEGREES( ACOS( COS(D$112/57.3)  *  COS($B117/57.3)))</f>
        <v>44.9966854902046</v>
      </c>
      <c r="E117" s="210" t="n">
        <f aca="false">DEGREES( ACOS( COS(E$112/57.3)  *  COS($B117/57.3)))</f>
        <v>46.9171065672377</v>
      </c>
      <c r="F117" s="210" t="n">
        <f aca="false">DEGREES( ACOS( COS(F$112/57.3)  *  COS($B117/57.3)))</f>
        <v>52.2352004441044</v>
      </c>
      <c r="G117" s="210" t="n">
        <f aca="false">DEGREES( ACOS( COS(G$112/57.3)  *  COS($B117/57.3)))</f>
        <v>59.9961726498796</v>
      </c>
      <c r="H117" s="210" t="n">
        <f aca="false">DEGREES( ACOS( COS(H$112/57.3)  *  COS($B117/57.3)))</f>
        <v>69.2910429027619</v>
      </c>
      <c r="I117" s="210" t="n">
        <f aca="false">DEGREES( ACOS( COS(I$112/57.3)  *  COS($B117/57.3)))</f>
        <v>79.4502542861438</v>
      </c>
      <c r="J117" s="214" t="n">
        <f aca="false">DEGREES( ACOS( COS(J$112/57.3)  *  COS($B117/57.3)))</f>
        <v>89.9953122918021</v>
      </c>
      <c r="K117" s="210" t="n">
        <f aca="false">DEGREES( ACOS( COS(K$112/57.3)  *  COS($B117/57.3)))</f>
        <v>100.540534136179</v>
      </c>
      <c r="L117" s="210" t="n">
        <f aca="false">DEGREES( ACOS( COS(L$112/57.3)  *  COS($B117/57.3)))</f>
        <v>110.700276966143</v>
      </c>
      <c r="M117" s="210" t="n">
        <f aca="false">DEGREES( ACOS( COS(M$112/57.3)  *  COS($B117/57.3)))</f>
        <v>119.996171911897</v>
      </c>
      <c r="N117" s="210" t="n">
        <f aca="false">DEGREES( ACOS( COS(N$112/57.3)  *  COS($B117/57.3)))</f>
        <v>127.758869182444</v>
      </c>
      <c r="O117" s="210" t="n">
        <f aca="false">DEGREES( ACOS( COS(O$112/57.3)  *  COS($B117/57.3)))</f>
        <v>133.079569971946</v>
      </c>
      <c r="P117" s="214" t="n">
        <f aca="false">DEGREES( ACOS( COS(P$112/57.3)  *  COS($B117/57.3)))</f>
        <v>135.003312984405</v>
      </c>
      <c r="Q117" s="210" t="n">
        <f aca="false">DEGREES( ACOS( COS(Q$112/57.3)  *  COS($B117/57.3)))</f>
        <v>133.079569971946</v>
      </c>
      <c r="R117" s="210" t="n">
        <f aca="false">DEGREES( ACOS( COS(R$112/57.3)  *  COS($B117/57.3)))</f>
        <v>127.758869182444</v>
      </c>
      <c r="S117" s="210" t="n">
        <f aca="false">DEGREES( ACOS( COS(S$112/57.3)  *  COS($B117/57.3)))</f>
        <v>119.996171911897</v>
      </c>
      <c r="T117" s="210" t="n">
        <f aca="false">DEGREES( ACOS( COS(T$112/57.3)  *  COS($B117/57.3)))</f>
        <v>110.700276966143</v>
      </c>
      <c r="U117" s="210" t="n">
        <f aca="false">DEGREES( ACOS( COS(U$112/57.3)  *  COS($B117/57.3)))</f>
        <v>100.540534136179</v>
      </c>
      <c r="V117" s="214" t="n">
        <f aca="false">DEGREES( ACOS( COS(V$112/57.3)  *  COS($B117/57.3)))</f>
        <v>89.9953122918021</v>
      </c>
      <c r="W117" s="210" t="n">
        <f aca="false">DEGREES( ACOS( COS(W$112/57.3)  *  COS($B117/57.3)))</f>
        <v>79.4502542861438</v>
      </c>
      <c r="X117" s="210" t="n">
        <f aca="false">DEGREES( ACOS( COS(X$112/57.3)  *  COS($B117/57.3)))</f>
        <v>69.2910429027619</v>
      </c>
      <c r="Y117" s="210" t="n">
        <f aca="false">DEGREES( ACOS( COS(Y$112/57.3)  *  COS($B117/57.3)))</f>
        <v>59.9961726498796</v>
      </c>
      <c r="Z117" s="210" t="n">
        <f aca="false">DEGREES( ACOS( COS(Z$112/57.3)  *  COS($B117/57.3)))</f>
        <v>52.2352004441044</v>
      </c>
      <c r="AA117" s="210" t="n">
        <f aca="false">DEGREES( ACOS( COS(AA$112/57.3)  *  COS($B117/57.3)))</f>
        <v>46.9171065672377</v>
      </c>
      <c r="AB117" s="214" t="n">
        <f aca="false">DEGREES( ACOS( COS(AB$112/57.3)  *  COS($B117/57.3)))</f>
        <v>44.9966863541153</v>
      </c>
      <c r="AC117" s="195" t="n">
        <f aca="false">DEGREES( ACOS( COS(AC$112/57.3)  *  COS($B117/57.3)))</f>
        <v>44.9966854814783</v>
      </c>
      <c r="AD117" s="195" t="n">
        <f aca="false">DEGREES( ACOS( COS(AD$112/57.3)  *  COS($B117/57.3)))</f>
        <v>44.9966854814783</v>
      </c>
      <c r="AE117" s="1"/>
      <c r="AF117" s="1"/>
      <c r="AG117" s="1"/>
      <c r="AH117" s="1"/>
      <c r="AI117" s="1"/>
      <c r="AJ117" s="1"/>
      <c r="AK117" s="1"/>
      <c r="AL117" s="1"/>
    </row>
    <row r="118" customFormat="false" ht="12.75" hidden="false" customHeight="true" outlineLevel="0" collapsed="false">
      <c r="A118" s="192" t="n">
        <f aca="false">RADIANS(MOD(B118-180,-360)+180)</f>
        <v>1.0471975511966</v>
      </c>
      <c r="B118" s="182" t="n">
        <v>60</v>
      </c>
      <c r="C118" s="1"/>
      <c r="D118" s="214" t="n">
        <f aca="false">DEGREES( ACOS( COS(D$112/57.3)  *  COS($B118/57.3)))</f>
        <v>59.9955806470095</v>
      </c>
      <c r="E118" s="210" t="n">
        <f aca="false">DEGREES( ACOS( COS(E$112/57.3)  *  COS($B118/57.3)))</f>
        <v>61.1165207889526</v>
      </c>
      <c r="F118" s="210" t="n">
        <f aca="false">DEGREES( ACOS( COS(F$112/57.3)  *  COS($B118/57.3)))</f>
        <v>64.3368036872236</v>
      </c>
      <c r="G118" s="210" t="n">
        <f aca="false">DEGREES( ACOS( COS(G$112/57.3)  *  COS($B118/57.3)))</f>
        <v>69.2910429027619</v>
      </c>
      <c r="H118" s="210" t="n">
        <f aca="false">DEGREES( ACOS( COS(H$112/57.3)  *  COS($B118/57.3)))</f>
        <v>75.5185348088582</v>
      </c>
      <c r="I118" s="210" t="n">
        <f aca="false">DEGREES( ACOS( COS(I$112/57.3)  *  COS($B118/57.3)))</f>
        <v>82.5608378765712</v>
      </c>
      <c r="J118" s="214" t="n">
        <f aca="false">DEGREES( ACOS( COS(J$112/57.3)  *  COS($B118/57.3)))</f>
        <v>89.9966850386835</v>
      </c>
      <c r="K118" s="210" t="n">
        <f aca="false">DEGREES( ACOS( COS(K$112/57.3)  *  COS($B118/57.3)))</f>
        <v>97.4327037632843</v>
      </c>
      <c r="L118" s="210" t="n">
        <f aca="false">DEGREES( ACOS( COS(L$112/57.3)  *  COS($B118/57.3)))</f>
        <v>104.475535049629</v>
      </c>
      <c r="M118" s="210" t="n">
        <f aca="false">DEGREES( ACOS( COS(M$112/57.3)  *  COS($B118/57.3)))</f>
        <v>110.703945002668</v>
      </c>
      <c r="N118" s="210" t="n">
        <f aca="false">DEGREES( ACOS( COS(N$112/57.3)  *  COS($B118/57.3)))</f>
        <v>115.659518126496</v>
      </c>
      <c r="O118" s="210" t="n">
        <f aca="false">DEGREES( ACOS( COS(O$112/57.3)  *  COS($B118/57.3)))</f>
        <v>118.88151879082</v>
      </c>
      <c r="P118" s="214" t="n">
        <f aca="false">DEGREES( ACOS( COS(P$112/57.3)  *  COS($B118/57.3)))</f>
        <v>120.004418472251</v>
      </c>
      <c r="Q118" s="210" t="n">
        <f aca="false">DEGREES( ACOS( COS(Q$112/57.3)  *  COS($B118/57.3)))</f>
        <v>118.88151879082</v>
      </c>
      <c r="R118" s="210" t="n">
        <f aca="false">DEGREES( ACOS( COS(R$112/57.3)  *  COS($B118/57.3)))</f>
        <v>115.659518126496</v>
      </c>
      <c r="S118" s="210" t="n">
        <f aca="false">DEGREES( ACOS( COS(S$112/57.3)  *  COS($B118/57.3)))</f>
        <v>110.703945002668</v>
      </c>
      <c r="T118" s="210" t="n">
        <f aca="false">DEGREES( ACOS( COS(T$112/57.3)  *  COS($B118/57.3)))</f>
        <v>104.475535049629</v>
      </c>
      <c r="U118" s="210" t="n">
        <f aca="false">DEGREES( ACOS( COS(U$112/57.3)  *  COS($B118/57.3)))</f>
        <v>97.4327037632843</v>
      </c>
      <c r="V118" s="214" t="n">
        <f aca="false">DEGREES( ACOS( COS(V$112/57.3)  *  COS($B118/57.3)))</f>
        <v>89.9966850386835</v>
      </c>
      <c r="W118" s="210" t="n">
        <f aca="false">DEGREES( ACOS( COS(W$112/57.3)  *  COS($B118/57.3)))</f>
        <v>82.5608378765712</v>
      </c>
      <c r="X118" s="210" t="n">
        <f aca="false">DEGREES( ACOS( COS(X$112/57.3)  *  COS($B118/57.3)))</f>
        <v>75.5185348088582</v>
      </c>
      <c r="Y118" s="210" t="n">
        <f aca="false">DEGREES( ACOS( COS(Y$112/57.3)  *  COS($B118/57.3)))</f>
        <v>69.2910429027619</v>
      </c>
      <c r="Z118" s="210" t="n">
        <f aca="false">DEGREES( ACOS( COS(Z$112/57.3)  *  COS($B118/57.3)))</f>
        <v>64.3368036872236</v>
      </c>
      <c r="AA118" s="210" t="n">
        <f aca="false">DEGREES( ACOS( COS(AA$112/57.3)  *  COS($B118/57.3)))</f>
        <v>61.1165207889526</v>
      </c>
      <c r="AB118" s="214" t="n">
        <f aca="false">DEGREES( ACOS( COS(AB$112/57.3)  *  COS($B118/57.3)))</f>
        <v>59.9955811458197</v>
      </c>
      <c r="AC118" s="195" t="n">
        <f aca="false">DEGREES( ACOS( COS(AC$112/57.3)  *  COS($B118/57.3)))</f>
        <v>59.995580641971</v>
      </c>
      <c r="AD118" s="195" t="n">
        <f aca="false">DEGREES( ACOS( COS(AD$112/57.3)  *  COS($B118/57.3)))</f>
        <v>59.995580641971</v>
      </c>
      <c r="AE118" s="1"/>
      <c r="AF118" s="1"/>
      <c r="AG118" s="1"/>
      <c r="AH118" s="1"/>
      <c r="AI118" s="1"/>
      <c r="AJ118" s="1"/>
      <c r="AK118" s="1"/>
      <c r="AL118" s="1"/>
    </row>
    <row r="119" customFormat="false" ht="12.75" hidden="false" customHeight="true" outlineLevel="0" collapsed="false">
      <c r="A119" s="192" t="n">
        <f aca="false">RADIANS(MOD(B119-180,-360)+180)</f>
        <v>1.30899693899575</v>
      </c>
      <c r="B119" s="182" t="n">
        <v>75</v>
      </c>
      <c r="C119" s="1"/>
      <c r="D119" s="214" t="n">
        <f aca="false">DEGREES( ACOS( COS(D$112/57.3)  *  COS($B119/57.3)))</f>
        <v>74.9944758048026</v>
      </c>
      <c r="E119" s="210" t="n">
        <f aca="false">DEGREES( ACOS( COS(E$112/57.3)  *  COS($B119/57.3)))</f>
        <v>75.5170881753803</v>
      </c>
      <c r="F119" s="210" t="n">
        <f aca="false">DEGREES( ACOS( COS(F$112/57.3)  *  COS($B119/57.3)))</f>
        <v>77.0424251235636</v>
      </c>
      <c r="G119" s="210" t="n">
        <f aca="false">DEGREES( ACOS( COS(G$112/57.3)  *  COS($B119/57.3)))</f>
        <v>79.4502542861438</v>
      </c>
      <c r="H119" s="210" t="n">
        <f aca="false">DEGREES( ACOS( COS(H$112/57.3)  *  COS($B119/57.3)))</f>
        <v>82.5608378765712</v>
      </c>
      <c r="I119" s="210" t="n">
        <f aca="false">DEGREES( ACOS( COS(I$112/57.3)  *  COS($B119/57.3)))</f>
        <v>86.1562655000842</v>
      </c>
      <c r="J119" s="214" t="n">
        <f aca="false">DEGREES( ACOS( COS(J$112/57.3)  *  COS($B119/57.3)))</f>
        <v>89.9982836616107</v>
      </c>
      <c r="K119" s="210" t="n">
        <f aca="false">DEGREES( ACOS( COS(K$112/57.3)  *  COS($B119/57.3)))</f>
        <v>93.8404113028573</v>
      </c>
      <c r="L119" s="210" t="n">
        <f aca="false">DEGREES( ACOS( COS(L$112/57.3)  *  COS($B119/57.3)))</f>
        <v>97.4361640469846</v>
      </c>
      <c r="M119" s="210" t="n">
        <f aca="false">DEGREES( ACOS( COS(M$112/57.3)  *  COS($B119/57.3)))</f>
        <v>100.54727657664</v>
      </c>
      <c r="N119" s="210" t="n">
        <f aca="false">DEGREES( ACOS( COS(N$112/57.3)  *  COS($B119/57.3)))</f>
        <v>102.955813462831</v>
      </c>
      <c r="O119" s="210" t="n">
        <f aca="false">DEGREES( ACOS( COS(O$112/57.3)  *  COS($B119/57.3)))</f>
        <v>104.481993894931</v>
      </c>
      <c r="P119" s="214" t="n">
        <f aca="false">DEGREES( ACOS( COS(P$112/57.3)  *  COS($B119/57.3)))</f>
        <v>105.00552378636</v>
      </c>
      <c r="Q119" s="210" t="n">
        <f aca="false">DEGREES( ACOS( COS(Q$112/57.3)  *  COS($B119/57.3)))</f>
        <v>104.481993894931</v>
      </c>
      <c r="R119" s="210" t="n">
        <f aca="false">DEGREES( ACOS( COS(R$112/57.3)  *  COS($B119/57.3)))</f>
        <v>102.955813462831</v>
      </c>
      <c r="S119" s="210" t="n">
        <f aca="false">DEGREES( ACOS( COS(S$112/57.3)  *  COS($B119/57.3)))</f>
        <v>100.54727657664</v>
      </c>
      <c r="T119" s="210" t="n">
        <f aca="false">DEGREES( ACOS( COS(T$112/57.3)  *  COS($B119/57.3)))</f>
        <v>97.4361640469846</v>
      </c>
      <c r="U119" s="210" t="n">
        <f aca="false">DEGREES( ACOS( COS(U$112/57.3)  *  COS($B119/57.3)))</f>
        <v>93.8404113028573</v>
      </c>
      <c r="V119" s="214" t="n">
        <f aca="false">DEGREES( ACOS( COS(V$112/57.3)  *  COS($B119/57.3)))</f>
        <v>89.9982836616107</v>
      </c>
      <c r="W119" s="210" t="n">
        <f aca="false">DEGREES( ACOS( COS(W$112/57.3)  *  COS($B119/57.3)))</f>
        <v>86.1562655000842</v>
      </c>
      <c r="X119" s="210" t="n">
        <f aca="false">DEGREES( ACOS( COS(X$112/57.3)  *  COS($B119/57.3)))</f>
        <v>82.5608378765712</v>
      </c>
      <c r="Y119" s="210" t="n">
        <f aca="false">DEGREES( ACOS( COS(Y$112/57.3)  *  COS($B119/57.3)))</f>
        <v>79.4502542861438</v>
      </c>
      <c r="Z119" s="210" t="n">
        <f aca="false">DEGREES( ACOS( COS(Z$112/57.3)  *  COS($B119/57.3)))</f>
        <v>77.0424251235636</v>
      </c>
      <c r="AA119" s="210" t="n">
        <f aca="false">DEGREES( ACOS( COS(AA$112/57.3)  *  COS($B119/57.3)))</f>
        <v>75.5170881753803</v>
      </c>
      <c r="AB119" s="214" t="n">
        <f aca="false">DEGREES( ACOS( COS(AB$112/57.3)  *  COS($B119/57.3)))</f>
        <v>74.9944760363493</v>
      </c>
      <c r="AC119" s="195" t="n">
        <f aca="false">DEGREES( ACOS( COS(AC$112/57.3)  *  COS($B119/57.3)))</f>
        <v>74.9944758024638</v>
      </c>
      <c r="AD119" s="195" t="n">
        <f aca="false">DEGREES( ACOS( COS(AD$112/57.3)  *  COS($B119/57.3)))</f>
        <v>74.9944758024638</v>
      </c>
      <c r="AE119" s="1"/>
      <c r="AF119" s="1"/>
      <c r="AG119" s="1"/>
      <c r="AH119" s="1"/>
      <c r="AI119" s="1"/>
      <c r="AJ119" s="1"/>
      <c r="AK119" s="1"/>
      <c r="AL119" s="1"/>
    </row>
    <row r="120" customFormat="false" ht="12.75" hidden="false" customHeight="true" outlineLevel="0" collapsed="false">
      <c r="A120" s="192" t="n">
        <f aca="false">RADIANS(MOD(B120-180,-360)+180)</f>
        <v>1.5707963267949</v>
      </c>
      <c r="B120" s="182" t="n">
        <v>90</v>
      </c>
      <c r="C120" s="1"/>
      <c r="D120" s="214" t="n">
        <f aca="false">DEGREES( ACOS( COS(D$112/57.3)  *  COS($B120/57.3)))</f>
        <v>89.9933709629575</v>
      </c>
      <c r="E120" s="214" t="n">
        <f aca="false">DEGREES( ACOS( COS(E$112/57.3)  *  COS($B120/57.3)))</f>
        <v>89.9935968088341</v>
      </c>
      <c r="F120" s="214" t="n">
        <f aca="false">DEGREES( ACOS( COS(F$112/57.3)  *  COS($B120/57.3)))</f>
        <v>89.9942589576969</v>
      </c>
      <c r="G120" s="214" t="n">
        <f aca="false">DEGREES( ACOS( COS(G$112/57.3)  *  COS($B120/57.3)))</f>
        <v>89.9953122918021</v>
      </c>
      <c r="H120" s="214" t="n">
        <f aca="false">DEGREES( ACOS( COS(H$112/57.3)  *  COS($B120/57.3)))</f>
        <v>89.9966850386835</v>
      </c>
      <c r="I120" s="214" t="n">
        <f aca="false">DEGREES( ACOS( COS(I$112/57.3)  *  COS($B120/57.3)))</f>
        <v>89.9982836616107</v>
      </c>
      <c r="J120" s="214" t="n">
        <f aca="false">DEGREES( ACOS( COS(J$112/57.3)  *  COS($B120/57.3)))</f>
        <v>89.9999992330302</v>
      </c>
      <c r="K120" s="214" t="n">
        <f aca="false">DEGREES( ACOS( COS(K$112/57.3)  *  COS($B120/57.3)))</f>
        <v>90.0017148567098</v>
      </c>
      <c r="L120" s="214" t="n">
        <f aca="false">DEGREES( ACOS( COS(L$112/57.3)  *  COS($B120/57.3)))</f>
        <v>90.0033136328563</v>
      </c>
      <c r="M120" s="214" t="n">
        <f aca="false">DEGREES( ACOS( COS(M$112/57.3)  *  COS($B120/57.3)))</f>
        <v>90.004686623476</v>
      </c>
      <c r="N120" s="214" t="n">
        <f aca="false">DEGREES( ACOS( COS(N$112/57.3)  *  COS($B120/57.3)))</f>
        <v>90.0057402752308</v>
      </c>
      <c r="O120" s="214" t="n">
        <f aca="false">DEGREES( ACOS( COS(O$112/57.3)  *  COS($B120/57.3)))</f>
        <v>90.0064027940103</v>
      </c>
      <c r="P120" s="214" t="n">
        <f aca="false">DEGREES( ACOS( COS(P$112/57.3)  *  COS($B120/57.3)))</f>
        <v>90.006629036866</v>
      </c>
      <c r="Q120" s="214" t="n">
        <f aca="false">DEGREES( ACOS( COS(Q$112/57.3)  *  COS($B120/57.3)))</f>
        <v>90.0064027940103</v>
      </c>
      <c r="R120" s="214" t="n">
        <f aca="false">DEGREES( ACOS( COS(R$112/57.3)  *  COS($B120/57.3)))</f>
        <v>90.0057402752308</v>
      </c>
      <c r="S120" s="214" t="n">
        <f aca="false">DEGREES( ACOS( COS(S$112/57.3)  *  COS($B120/57.3)))</f>
        <v>90.004686623476</v>
      </c>
      <c r="T120" s="214" t="n">
        <f aca="false">DEGREES( ACOS( COS(T$112/57.3)  *  COS($B120/57.3)))</f>
        <v>90.0033136328563</v>
      </c>
      <c r="U120" s="214" t="n">
        <f aca="false">DEGREES( ACOS( COS(U$112/57.3)  *  COS($B120/57.3)))</f>
        <v>90.0017148567098</v>
      </c>
      <c r="V120" s="214" t="n">
        <f aca="false">DEGREES( ACOS( COS(V$112/57.3)  *  COS($B120/57.3)))</f>
        <v>89.9999992330302</v>
      </c>
      <c r="W120" s="214" t="n">
        <f aca="false">DEGREES( ACOS( COS(W$112/57.3)  *  COS($B120/57.3)))</f>
        <v>89.9982836616107</v>
      </c>
      <c r="X120" s="214" t="n">
        <f aca="false">DEGREES( ACOS( COS(X$112/57.3)  *  COS($B120/57.3)))</f>
        <v>89.9966850386835</v>
      </c>
      <c r="Y120" s="214" t="n">
        <f aca="false">DEGREES( ACOS( COS(Y$112/57.3)  *  COS($B120/57.3)))</f>
        <v>89.9953122918021</v>
      </c>
      <c r="Z120" s="214" t="n">
        <f aca="false">DEGREES( ACOS( COS(Z$112/57.3)  *  COS($B120/57.3)))</f>
        <v>89.9942589576969</v>
      </c>
      <c r="AA120" s="214" t="n">
        <f aca="false">DEGREES( ACOS( COS(AA$112/57.3)  *  COS($B120/57.3)))</f>
        <v>89.9935968088341</v>
      </c>
      <c r="AB120" s="214" t="n">
        <f aca="false">DEGREES( ACOS( COS(AB$112/57.3)  *  COS($B120/57.3)))</f>
        <v>89.9933709630575</v>
      </c>
      <c r="AC120" s="195" t="n">
        <f aca="false">DEGREES( ACOS( COS(AC$112/57.3)  *  COS($B120/57.3)))</f>
        <v>89.9933709629565</v>
      </c>
      <c r="AD120" s="195" t="n">
        <f aca="false">DEGREES( ACOS( COS(AD$112/57.3)  *  COS($B120/57.3)))</f>
        <v>89.9933709629565</v>
      </c>
      <c r="AE120" s="1"/>
      <c r="AF120" s="1"/>
      <c r="AG120" s="1"/>
      <c r="AH120" s="1"/>
      <c r="AI120" s="1"/>
      <c r="AJ120" s="1"/>
      <c r="AK120" s="1"/>
      <c r="AL120" s="1"/>
    </row>
    <row r="121" customFormat="false" ht="12.75" hidden="false" customHeight="true" outlineLevel="0" collapsed="false">
      <c r="A121" s="192" t="n">
        <f aca="false">RADIANS(MOD(B121-180,-360)+180)</f>
        <v>1.83259571459405</v>
      </c>
      <c r="B121" s="182" t="n">
        <v>105</v>
      </c>
      <c r="C121" s="1"/>
      <c r="D121" s="214" t="n">
        <f aca="false">DEGREES( ACOS( COS(D$112/57.3)  *  COS($B121/57.3)))</f>
        <v>104.992266121113</v>
      </c>
      <c r="E121" s="210" t="n">
        <f aca="false">DEGREES( ACOS( COS(E$112/57.3)  *  COS($B121/57.3)))</f>
        <v>104.470136118497</v>
      </c>
      <c r="F121" s="210" t="n">
        <f aca="false">DEGREES( ACOS( COS(F$112/57.3)  *  COS($B121/57.3)))</f>
        <v>102.946194443245</v>
      </c>
      <c r="G121" s="210" t="n">
        <f aca="false">DEGREES( ACOS( COS(G$112/57.3)  *  COS($B121/57.3)))</f>
        <v>100.540534136179</v>
      </c>
      <c r="H121" s="210" t="n">
        <f aca="false">DEGREES( ACOS( COS(H$112/57.3)  *  COS($B121/57.3)))</f>
        <v>97.4327037632843</v>
      </c>
      <c r="I121" s="210" t="n">
        <f aca="false">DEGREES( ACOS( COS(I$112/57.3)  *  COS($B121/57.3)))</f>
        <v>93.8404113028573</v>
      </c>
      <c r="J121" s="214" t="n">
        <f aca="false">DEGREES( ACOS( COS(J$112/57.3)  *  COS($B121/57.3)))</f>
        <v>90.0017148567098</v>
      </c>
      <c r="K121" s="210" t="n">
        <f aca="false">DEGREES( ACOS( COS(K$112/57.3)  *  COS($B121/57.3)))</f>
        <v>86.1629090124318</v>
      </c>
      <c r="L121" s="210" t="n">
        <f aca="false">DEGREES( ACOS( COS(L$112/57.3)  *  COS($B121/57.3)))</f>
        <v>82.5702916809322</v>
      </c>
      <c r="M121" s="210" t="n">
        <f aca="false">DEGREES( ACOS( COS(M$112/57.3)  *  COS($B121/57.3)))</f>
        <v>79.4619327956673</v>
      </c>
      <c r="N121" s="210" t="n">
        <f aca="false">DEGREES( ACOS( COS(N$112/57.3)  *  COS($B121/57.3)))</f>
        <v>77.0555653693877</v>
      </c>
      <c r="O121" s="210" t="n">
        <f aca="false">DEGREES( ACOS( COS(O$112/57.3)  *  COS($B121/57.3)))</f>
        <v>75.5307809659684</v>
      </c>
      <c r="P121" s="214" t="n">
        <f aca="false">DEGREES( ACOS( COS(P$112/57.3)  *  COS($B121/57.3)))</f>
        <v>75.0077342873467</v>
      </c>
      <c r="Q121" s="210" t="n">
        <f aca="false">DEGREES( ACOS( COS(Q$112/57.3)  *  COS($B121/57.3)))</f>
        <v>75.5307809659684</v>
      </c>
      <c r="R121" s="210" t="n">
        <f aca="false">DEGREES( ACOS( COS(R$112/57.3)  *  COS($B121/57.3)))</f>
        <v>77.0555653693877</v>
      </c>
      <c r="S121" s="210" t="n">
        <f aca="false">DEGREES( ACOS( COS(S$112/57.3)  *  COS($B121/57.3)))</f>
        <v>79.4619327956673</v>
      </c>
      <c r="T121" s="210" t="n">
        <f aca="false">DEGREES( ACOS( COS(T$112/57.3)  *  COS($B121/57.3)))</f>
        <v>82.5702916809322</v>
      </c>
      <c r="U121" s="210" t="n">
        <f aca="false">DEGREES( ACOS( COS(U$112/57.3)  *  COS($B121/57.3)))</f>
        <v>86.1629090124318</v>
      </c>
      <c r="V121" s="214" t="n">
        <f aca="false">DEGREES( ACOS( COS(V$112/57.3)  *  COS($B121/57.3)))</f>
        <v>90.0017148567098</v>
      </c>
      <c r="W121" s="210" t="n">
        <f aca="false">DEGREES( ACOS( COS(W$112/57.3)  *  COS($B121/57.3)))</f>
        <v>93.8404113028573</v>
      </c>
      <c r="X121" s="210" t="n">
        <f aca="false">DEGREES( ACOS( COS(X$112/57.3)  *  COS($B121/57.3)))</f>
        <v>97.4327037632843</v>
      </c>
      <c r="Y121" s="210" t="n">
        <f aca="false">DEGREES( ACOS( COS(Y$112/57.3)  *  COS($B121/57.3)))</f>
        <v>100.540534136179</v>
      </c>
      <c r="Z121" s="210" t="n">
        <f aca="false">DEGREES( ACOS( COS(Z$112/57.3)  *  COS($B121/57.3)))</f>
        <v>102.946194443245</v>
      </c>
      <c r="AA121" s="210" t="n">
        <f aca="false">DEGREES( ACOS( COS(AA$112/57.3)  *  COS($B121/57.3)))</f>
        <v>104.470136118497</v>
      </c>
      <c r="AB121" s="214" t="n">
        <f aca="false">DEGREES( ACOS( COS(AB$112/57.3)  *  COS($B121/57.3)))</f>
        <v>104.99226588978</v>
      </c>
      <c r="AC121" s="195" t="n">
        <f aca="false">DEGREES( ACOS( COS(AC$112/57.3)  *  COS($B121/57.3)))</f>
        <v>104.992266123449</v>
      </c>
      <c r="AD121" s="195" t="n">
        <f aca="false">DEGREES( ACOS( COS(AD$112/57.3)  *  COS($B121/57.3)))</f>
        <v>104.992266123449</v>
      </c>
      <c r="AE121" s="1"/>
      <c r="AF121" s="1"/>
      <c r="AG121" s="1"/>
      <c r="AH121" s="1"/>
      <c r="AI121" s="1"/>
      <c r="AJ121" s="1"/>
      <c r="AK121" s="1"/>
      <c r="AL121" s="1"/>
    </row>
    <row r="122" customFormat="false" ht="12.75" hidden="false" customHeight="true" outlineLevel="0" collapsed="false">
      <c r="A122" s="192" t="n">
        <f aca="false">RADIANS(MOD(B122-180,-360)+180)</f>
        <v>2.0943951023932</v>
      </c>
      <c r="B122" s="182" t="n">
        <v>120</v>
      </c>
      <c r="C122" s="1"/>
      <c r="D122" s="214" t="n">
        <f aca="false">DEGREES( ACOS( COS(D$112/57.3)  *  COS($B122/57.3)))</f>
        <v>119.991161278906</v>
      </c>
      <c r="E122" s="210" t="n">
        <f aca="false">DEGREES( ACOS( COS(E$112/57.3)  *  COS($B122/57.3)))</f>
        <v>118.870813410951</v>
      </c>
      <c r="F122" s="210" t="n">
        <f aca="false">DEGREES( ACOS( COS(F$112/57.3)  *  COS($B122/57.3)))</f>
        <v>115.652164550475</v>
      </c>
      <c r="G122" s="210" t="n">
        <f aca="false">DEGREES( ACOS( COS(G$112/57.3)  *  COS($B122/57.3)))</f>
        <v>110.700276966143</v>
      </c>
      <c r="H122" s="210" t="n">
        <f aca="false">DEGREES( ACOS( COS(H$112/57.3)  *  COS($B122/57.3)))</f>
        <v>104.475535049629</v>
      </c>
      <c r="I122" s="210" t="n">
        <f aca="false">DEGREES( ACOS( COS(I$112/57.3)  *  COS($B122/57.3)))</f>
        <v>97.4361640469846</v>
      </c>
      <c r="J122" s="214" t="n">
        <f aca="false">DEGREES( ACOS( COS(J$112/57.3)  *  COS($B122/57.3)))</f>
        <v>90.0033136328563</v>
      </c>
      <c r="K122" s="210" t="n">
        <f aca="false">DEGREES( ACOS( COS(K$112/57.3)  *  COS($B122/57.3)))</f>
        <v>82.5702916809322</v>
      </c>
      <c r="L122" s="210" t="n">
        <f aca="false">DEGREES( ACOS( COS(L$112/57.3)  *  COS($B122/57.3)))</f>
        <v>75.5303925570444</v>
      </c>
      <c r="M122" s="210" t="n">
        <f aca="false">DEGREES( ACOS( COS(M$112/57.3)  *  COS($B122/57.3)))</f>
        <v>69.3047328330535</v>
      </c>
      <c r="N122" s="210" t="n">
        <f aca="false">DEGREES( ACOS( COS(N$112/57.3)  *  COS($B122/57.3)))</f>
        <v>64.351511821803</v>
      </c>
      <c r="O122" s="210" t="n">
        <f aca="false">DEGREES( ACOS( COS(O$112/57.3)  *  COS($B122/57.3)))</f>
        <v>61.1311459847668</v>
      </c>
      <c r="P122" s="214" t="n">
        <f aca="false">DEGREES( ACOS( COS(P$112/57.3)  *  COS($B122/57.3)))</f>
        <v>60.0088396013629</v>
      </c>
      <c r="Q122" s="210" t="n">
        <f aca="false">DEGREES( ACOS( COS(Q$112/57.3)  *  COS($B122/57.3)))</f>
        <v>61.1311459847668</v>
      </c>
      <c r="R122" s="210" t="n">
        <f aca="false">DEGREES( ACOS( COS(R$112/57.3)  *  COS($B122/57.3)))</f>
        <v>64.351511821803</v>
      </c>
      <c r="S122" s="210" t="n">
        <f aca="false">DEGREES( ACOS( COS(S$112/57.3)  *  COS($B122/57.3)))</f>
        <v>69.3047328330535</v>
      </c>
      <c r="T122" s="210" t="n">
        <f aca="false">DEGREES( ACOS( COS(T$112/57.3)  *  COS($B122/57.3)))</f>
        <v>75.5303925570444</v>
      </c>
      <c r="U122" s="210" t="n">
        <f aca="false">DEGREES( ACOS( COS(U$112/57.3)  *  COS($B122/57.3)))</f>
        <v>82.5702916809322</v>
      </c>
      <c r="V122" s="214" t="n">
        <f aca="false">DEGREES( ACOS( COS(V$112/57.3)  *  COS($B122/57.3)))</f>
        <v>90.0033136328563</v>
      </c>
      <c r="W122" s="210" t="n">
        <f aca="false">DEGREES( ACOS( COS(W$112/57.3)  *  COS($B122/57.3)))</f>
        <v>97.4361640469846</v>
      </c>
      <c r="X122" s="210" t="n">
        <f aca="false">DEGREES( ACOS( COS(X$112/57.3)  *  COS($B122/57.3)))</f>
        <v>104.475535049629</v>
      </c>
      <c r="Y122" s="210" t="n">
        <f aca="false">DEGREES( ACOS( COS(Y$112/57.3)  *  COS($B122/57.3)))</f>
        <v>110.700276966143</v>
      </c>
      <c r="Z122" s="210" t="n">
        <f aca="false">DEGREES( ACOS( COS(Z$112/57.3)  *  COS($B122/57.3)))</f>
        <v>115.652164550475</v>
      </c>
      <c r="AA122" s="210" t="n">
        <f aca="false">DEGREES( ACOS( COS(AA$112/57.3)  *  COS($B122/57.3)))</f>
        <v>118.870813410951</v>
      </c>
      <c r="AB122" s="214" t="n">
        <f aca="false">DEGREES( ACOS( COS(AB$112/57.3)  *  COS($B122/57.3)))</f>
        <v>119.991160780363</v>
      </c>
      <c r="AC122" s="195" t="n">
        <f aca="false">DEGREES( ACOS( COS(AC$112/57.3)  *  COS($B122/57.3)))</f>
        <v>119.991161283942</v>
      </c>
      <c r="AD122" s="195" t="n">
        <f aca="false">DEGREES( ACOS( COS(AD$112/57.3)  *  COS($B122/57.3)))</f>
        <v>119.991161283942</v>
      </c>
      <c r="AE122" s="1"/>
      <c r="AF122" s="1"/>
      <c r="AG122" s="1"/>
      <c r="AH122" s="1"/>
      <c r="AI122" s="1"/>
      <c r="AJ122" s="1"/>
      <c r="AK122" s="1"/>
      <c r="AL122" s="1"/>
    </row>
    <row r="123" customFormat="false" ht="12.75" hidden="false" customHeight="true" outlineLevel="0" collapsed="false">
      <c r="A123" s="192" t="n">
        <f aca="false">RADIANS(MOD(B123-180,-360)+180)</f>
        <v>2.35619449019234</v>
      </c>
      <c r="B123" s="182" t="n">
        <v>135</v>
      </c>
      <c r="C123" s="1"/>
      <c r="D123" s="214" t="n">
        <f aca="false">DEGREES( ACOS( COS(D$112/57.3)  *  COS($B123/57.3)))</f>
        <v>134.990056435712</v>
      </c>
      <c r="E123" s="210" t="n">
        <f aca="false">DEGREES( ACOS( COS(E$112/57.3)  *  COS($B123/57.3)))</f>
        <v>133.070495423561</v>
      </c>
      <c r="F123" s="210" t="n">
        <f aca="false">DEGREES( ACOS( COS(F$112/57.3)  *  COS($B123/57.3)))</f>
        <v>127.754529292431</v>
      </c>
      <c r="G123" s="210" t="n">
        <f aca="false">DEGREES( ACOS( COS(G$112/57.3)  *  COS($B123/57.3)))</f>
        <v>119.996171911897</v>
      </c>
      <c r="H123" s="210" t="n">
        <f aca="false">DEGREES( ACOS( COS(H$112/57.3)  *  COS($B123/57.3)))</f>
        <v>110.703945002668</v>
      </c>
      <c r="I123" s="210" t="n">
        <f aca="false">DEGREES( ACOS( COS(I$112/57.3)  *  COS($B123/57.3)))</f>
        <v>100.54727657664</v>
      </c>
      <c r="J123" s="214" t="n">
        <f aca="false">DEGREES( ACOS( COS(J$112/57.3)  *  COS($B123/57.3)))</f>
        <v>90.004686623476</v>
      </c>
      <c r="K123" s="210" t="n">
        <f aca="false">DEGREES( ACOS( COS(K$112/57.3)  *  COS($B123/57.3)))</f>
        <v>79.4619327956673</v>
      </c>
      <c r="L123" s="210" t="n">
        <f aca="false">DEGREES( ACOS( COS(L$112/57.3)  *  COS($B123/57.3)))</f>
        <v>69.3047328330535</v>
      </c>
      <c r="M123" s="210" t="n">
        <f aca="false">DEGREES( ACOS( COS(M$112/57.3)  *  COS($B123/57.3)))</f>
        <v>60.0114811646724</v>
      </c>
      <c r="N123" s="210" t="n">
        <f aca="false">DEGREES( ACOS( COS(N$112/57.3)  *  COS($B123/57.3)))</f>
        <v>52.2513988858095</v>
      </c>
      <c r="O123" s="210" t="n">
        <f aca="false">DEGREES( ACOS( COS(O$112/57.3)  *  COS($B123/57.3)))</f>
        <v>46.9328265960974</v>
      </c>
      <c r="P123" s="214" t="n">
        <f aca="false">DEGREES( ACOS( COS(P$112/57.3)  *  COS($B123/57.3)))</f>
        <v>45.0099450889724</v>
      </c>
      <c r="Q123" s="210" t="n">
        <f aca="false">DEGREES( ACOS( COS(Q$112/57.3)  *  COS($B123/57.3)))</f>
        <v>46.9328265960974</v>
      </c>
      <c r="R123" s="210" t="n">
        <f aca="false">DEGREES( ACOS( COS(R$112/57.3)  *  COS($B123/57.3)))</f>
        <v>52.2513988858095</v>
      </c>
      <c r="S123" s="210" t="n">
        <f aca="false">DEGREES( ACOS( COS(S$112/57.3)  *  COS($B123/57.3)))</f>
        <v>60.0114811646724</v>
      </c>
      <c r="T123" s="210" t="n">
        <f aca="false">DEGREES( ACOS( COS(T$112/57.3)  *  COS($B123/57.3)))</f>
        <v>69.3047328330535</v>
      </c>
      <c r="U123" s="210" t="n">
        <f aca="false">DEGREES( ACOS( COS(U$112/57.3)  *  COS($B123/57.3)))</f>
        <v>79.4619327956673</v>
      </c>
      <c r="V123" s="214" t="n">
        <f aca="false">DEGREES( ACOS( COS(V$112/57.3)  *  COS($B123/57.3)))</f>
        <v>90.004686623476</v>
      </c>
      <c r="W123" s="210" t="n">
        <f aca="false">DEGREES( ACOS( COS(W$112/57.3)  *  COS($B123/57.3)))</f>
        <v>100.54727657664</v>
      </c>
      <c r="X123" s="210" t="n">
        <f aca="false">DEGREES( ACOS( COS(X$112/57.3)  *  COS($B123/57.3)))</f>
        <v>110.703945002668</v>
      </c>
      <c r="Y123" s="210" t="n">
        <f aca="false">DEGREES( ACOS( COS(Y$112/57.3)  *  COS($B123/57.3)))</f>
        <v>119.996171911897</v>
      </c>
      <c r="Z123" s="210" t="n">
        <f aca="false">DEGREES( ACOS( COS(Z$112/57.3)  *  COS($B123/57.3)))</f>
        <v>127.754529292431</v>
      </c>
      <c r="AA123" s="210" t="n">
        <f aca="false">DEGREES( ACOS( COS(AA$112/57.3)  *  COS($B123/57.3)))</f>
        <v>133.070495423561</v>
      </c>
      <c r="AB123" s="214" t="n">
        <f aca="false">DEGREES( ACOS( COS(AB$112/57.3)  *  COS($B123/57.3)))</f>
        <v>134.990055572202</v>
      </c>
      <c r="AC123" s="195" t="n">
        <f aca="false">DEGREES( ACOS( COS(AC$112/57.3)  *  COS($B123/57.3)))</f>
        <v>134.990056444435</v>
      </c>
      <c r="AD123" s="195" t="n">
        <f aca="false">DEGREES( ACOS( COS(AD$112/57.3)  *  COS($B123/57.3)))</f>
        <v>134.990056444435</v>
      </c>
      <c r="AE123" s="1"/>
      <c r="AF123" s="1"/>
      <c r="AG123" s="1"/>
      <c r="AH123" s="1"/>
      <c r="AI123" s="1"/>
      <c r="AJ123" s="1"/>
      <c r="AK123" s="1"/>
      <c r="AL123" s="1"/>
    </row>
    <row r="124" customFormat="false" ht="12.75" hidden="false" customHeight="true" outlineLevel="0" collapsed="false">
      <c r="A124" s="192" t="n">
        <f aca="false">RADIANS(MOD(B124-180,-360)+180)</f>
        <v>2.61799387799149</v>
      </c>
      <c r="B124" s="182" t="n">
        <v>150</v>
      </c>
      <c r="C124" s="1"/>
      <c r="D124" s="214" t="n">
        <f aca="false">DEGREES( ACOS( COS(D$112/57.3)  *  COS($B124/57.3)))</f>
        <v>149.988951589822</v>
      </c>
      <c r="E124" s="210" t="n">
        <f aca="false">DEGREES( ACOS( COS(E$112/57.3)  *  COS($B124/57.3)))</f>
        <v>146.764771011389</v>
      </c>
      <c r="F124" s="210" t="n">
        <f aca="false">DEGREES( ACOS( COS(F$112/57.3)  *  COS($B124/57.3)))</f>
        <v>138.584590507028</v>
      </c>
      <c r="G124" s="210" t="n">
        <f aca="false">DEGREES( ACOS( COS(G$112/57.3)  *  COS($B124/57.3)))</f>
        <v>127.758869182444</v>
      </c>
      <c r="H124" s="210" t="n">
        <f aca="false">DEGREES( ACOS( COS(H$112/57.3)  *  COS($B124/57.3)))</f>
        <v>115.659518126496</v>
      </c>
      <c r="I124" s="210" t="n">
        <f aca="false">DEGREES( ACOS( COS(I$112/57.3)  *  COS($B124/57.3)))</f>
        <v>102.955813462831</v>
      </c>
      <c r="J124" s="214" t="n">
        <f aca="false">DEGREES( ACOS( COS(J$112/57.3)  *  COS($B124/57.3)))</f>
        <v>90.0057402752308</v>
      </c>
      <c r="K124" s="210" t="n">
        <f aca="false">DEGREES( ACOS( COS(K$112/57.3)  *  COS($B124/57.3)))</f>
        <v>77.0555653693877</v>
      </c>
      <c r="L124" s="210" t="n">
        <f aca="false">DEGREES( ACOS( COS(L$112/57.3)  *  COS($B124/57.3)))</f>
        <v>64.351511821803</v>
      </c>
      <c r="M124" s="210" t="n">
        <f aca="false">DEGREES( ACOS( COS(M$112/57.3)  *  COS($B124/57.3)))</f>
        <v>52.2513988858095</v>
      </c>
      <c r="N124" s="210" t="n">
        <f aca="false">DEGREES( ACOS( COS(N$112/57.3)  *  COS($B124/57.3)))</f>
        <v>41.4240873938383</v>
      </c>
      <c r="O124" s="210" t="n">
        <f aca="false">DEGREES( ACOS( COS(O$112/57.3)  *  COS($B124/57.3)))</f>
        <v>33.2406520154544</v>
      </c>
      <c r="P124" s="214" t="n">
        <f aca="false">DEGREES( ACOS( COS(P$112/57.3)  *  COS($B124/57.3)))</f>
        <v>30.0110510507509</v>
      </c>
      <c r="Q124" s="210" t="n">
        <f aca="false">DEGREES( ACOS( COS(Q$112/57.3)  *  COS($B124/57.3)))</f>
        <v>33.2406520154544</v>
      </c>
      <c r="R124" s="210" t="n">
        <f aca="false">DEGREES( ACOS( COS(R$112/57.3)  *  COS($B124/57.3)))</f>
        <v>41.4240873938383</v>
      </c>
      <c r="S124" s="210" t="n">
        <f aca="false">DEGREES( ACOS( COS(S$112/57.3)  *  COS($B124/57.3)))</f>
        <v>52.2513988858095</v>
      </c>
      <c r="T124" s="210" t="n">
        <f aca="false">DEGREES( ACOS( COS(T$112/57.3)  *  COS($B124/57.3)))</f>
        <v>64.351511821803</v>
      </c>
      <c r="U124" s="210" t="n">
        <f aca="false">DEGREES( ACOS( COS(U$112/57.3)  *  COS($B124/57.3)))</f>
        <v>77.0555653693877</v>
      </c>
      <c r="V124" s="214" t="n">
        <f aca="false">DEGREES( ACOS( COS(V$112/57.3)  *  COS($B124/57.3)))</f>
        <v>90.0057402752308</v>
      </c>
      <c r="W124" s="210" t="n">
        <f aca="false">DEGREES( ACOS( COS(W$112/57.3)  *  COS($B124/57.3)))</f>
        <v>102.955813462831</v>
      </c>
      <c r="X124" s="210" t="n">
        <f aca="false">DEGREES( ACOS( COS(X$112/57.3)  *  COS($B124/57.3)))</f>
        <v>115.659518126496</v>
      </c>
      <c r="Y124" s="210" t="n">
        <f aca="false">DEGREES( ACOS( COS(Y$112/57.3)  *  COS($B124/57.3)))</f>
        <v>127.758869182444</v>
      </c>
      <c r="Z124" s="210" t="n">
        <f aca="false">DEGREES( ACOS( COS(Z$112/57.3)  *  COS($B124/57.3)))</f>
        <v>138.584590507028</v>
      </c>
      <c r="AA124" s="210" t="n">
        <f aca="false">DEGREES( ACOS( COS(AA$112/57.3)  *  COS($B124/57.3)))</f>
        <v>146.764771011389</v>
      </c>
      <c r="AB124" s="214" t="n">
        <f aca="false">DEGREES( ACOS( COS(AB$112/57.3)  *  COS($B124/57.3)))</f>
        <v>149.988950094324</v>
      </c>
      <c r="AC124" s="195" t="n">
        <f aca="false">DEGREES( ACOS( COS(AC$112/57.3)  *  COS($B124/57.3)))</f>
        <v>149.988951604928</v>
      </c>
      <c r="AD124" s="195" t="n">
        <f aca="false">DEGREES( ACOS( COS(AD$112/57.3)  *  COS($B124/57.3)))</f>
        <v>149.988951604928</v>
      </c>
      <c r="AE124" s="1"/>
      <c r="AF124" s="1"/>
      <c r="AG124" s="1"/>
      <c r="AH124" s="1"/>
      <c r="AI124" s="1"/>
      <c r="AJ124" s="1"/>
      <c r="AK124" s="1"/>
      <c r="AL124" s="1"/>
    </row>
    <row r="125" customFormat="false" ht="12.75" hidden="false" customHeight="true" outlineLevel="0" collapsed="false">
      <c r="A125" s="192" t="n">
        <f aca="false">RADIANS(MOD(B125-180,-360)+180)</f>
        <v>2.87979326579064</v>
      </c>
      <c r="B125" s="182" t="n">
        <v>165</v>
      </c>
      <c r="C125" s="1"/>
      <c r="D125" s="214" t="n">
        <f aca="false">DEGREES( ACOS( COS(D$112/57.3)  *  COS($B125/57.3)))</f>
        <v>164.987846732884</v>
      </c>
      <c r="E125" s="210" t="n">
        <f aca="false">DEGREES( ACOS( COS(E$112/57.3)  *  COS($B125/57.3)))</f>
        <v>158.901740906834</v>
      </c>
      <c r="F125" s="210" t="n">
        <f aca="false">DEGREES( ACOS( COS(F$112/57.3)  *  COS($B125/57.3)))</f>
        <v>146.7710319517</v>
      </c>
      <c r="G125" s="210" t="n">
        <f aca="false">DEGREES( ACOS( COS(G$112/57.3)  *  COS($B125/57.3)))</f>
        <v>133.079569971946</v>
      </c>
      <c r="H125" s="210" t="n">
        <f aca="false">DEGREES( ACOS( COS(H$112/57.3)  *  COS($B125/57.3)))</f>
        <v>118.88151879082</v>
      </c>
      <c r="I125" s="210" t="n">
        <f aca="false">DEGREES( ACOS( COS(I$112/57.3)  *  COS($B125/57.3)))</f>
        <v>104.481993894931</v>
      </c>
      <c r="J125" s="214" t="n">
        <f aca="false">DEGREES( ACOS( COS(J$112/57.3)  *  COS($B125/57.3)))</f>
        <v>90.0064027940103</v>
      </c>
      <c r="K125" s="210" t="n">
        <f aca="false">DEGREES( ACOS( COS(K$112/57.3)  *  COS($B125/57.3)))</f>
        <v>75.5307809659684</v>
      </c>
      <c r="L125" s="210" t="n">
        <f aca="false">DEGREES( ACOS( COS(L$112/57.3)  *  COS($B125/57.3)))</f>
        <v>61.1311459847668</v>
      </c>
      <c r="M125" s="210" t="n">
        <f aca="false">DEGREES( ACOS( COS(M$112/57.3)  *  COS($B125/57.3)))</f>
        <v>46.9328265960974</v>
      </c>
      <c r="N125" s="210" t="n">
        <f aca="false">DEGREES( ACOS( COS(N$112/57.3)  *  COS($B125/57.3)))</f>
        <v>33.2406520154544</v>
      </c>
      <c r="O125" s="210" t="n">
        <f aca="false">DEGREES( ACOS( COS(O$112/57.3)  *  COS($B125/57.3)))</f>
        <v>21.1074677672458</v>
      </c>
      <c r="P125" s="214" t="n">
        <f aca="false">DEGREES( ACOS( COS(P$112/57.3)  *  COS($B125/57.3)))</f>
        <v>15.0121589544657</v>
      </c>
      <c r="Q125" s="210" t="n">
        <f aca="false">DEGREES( ACOS( COS(Q$112/57.3)  *  COS($B125/57.3)))</f>
        <v>21.1074677672458</v>
      </c>
      <c r="R125" s="210" t="n">
        <f aca="false">DEGREES( ACOS( COS(R$112/57.3)  *  COS($B125/57.3)))</f>
        <v>33.2406520154544</v>
      </c>
      <c r="S125" s="210" t="n">
        <f aca="false">DEGREES( ACOS( COS(S$112/57.3)  *  COS($B125/57.3)))</f>
        <v>46.9328265960974</v>
      </c>
      <c r="T125" s="210" t="n">
        <f aca="false">DEGREES( ACOS( COS(T$112/57.3)  *  COS($B125/57.3)))</f>
        <v>61.1311459847668</v>
      </c>
      <c r="U125" s="210" t="n">
        <f aca="false">DEGREES( ACOS( COS(U$112/57.3)  *  COS($B125/57.3)))</f>
        <v>75.5307809659684</v>
      </c>
      <c r="V125" s="214" t="n">
        <f aca="false">DEGREES( ACOS( COS(V$112/57.3)  *  COS($B125/57.3)))</f>
        <v>90.0064027940103</v>
      </c>
      <c r="W125" s="210" t="n">
        <f aca="false">DEGREES( ACOS( COS(W$112/57.3)  *  COS($B125/57.3)))</f>
        <v>104.481993894931</v>
      </c>
      <c r="X125" s="210" t="n">
        <f aca="false">DEGREES( ACOS( COS(X$112/57.3)  *  COS($B125/57.3)))</f>
        <v>118.88151879082</v>
      </c>
      <c r="Y125" s="210" t="n">
        <f aca="false">DEGREES( ACOS( COS(Y$112/57.3)  *  COS($B125/57.3)))</f>
        <v>133.079569971946</v>
      </c>
      <c r="Z125" s="210" t="n">
        <f aca="false">DEGREES( ACOS( COS(Z$112/57.3)  *  COS($B125/57.3)))</f>
        <v>146.7710319517</v>
      </c>
      <c r="AA125" s="210" t="n">
        <f aca="false">DEGREES( ACOS( COS(AA$112/57.3)  *  COS($B125/57.3)))</f>
        <v>158.901740906834</v>
      </c>
      <c r="AB125" s="214" t="n">
        <f aca="false">DEGREES( ACOS( COS(AB$112/57.3)  *  COS($B125/57.3)))</f>
        <v>164.987843511832</v>
      </c>
      <c r="AC125" s="195" t="n">
        <f aca="false">DEGREES( ACOS( COS(AC$112/57.3)  *  COS($B125/57.3)))</f>
        <v>164.98784676542</v>
      </c>
      <c r="AD125" s="195" t="n">
        <f aca="false">DEGREES( ACOS( COS(AD$112/57.3)  *  COS($B125/57.3)))</f>
        <v>164.98784676542</v>
      </c>
      <c r="AE125" s="1"/>
      <c r="AF125" s="1"/>
      <c r="AG125" s="1"/>
      <c r="AH125" s="1"/>
      <c r="AI125" s="1"/>
      <c r="AJ125" s="1"/>
      <c r="AK125" s="1"/>
      <c r="AL125" s="1"/>
    </row>
    <row r="126" customFormat="false" ht="12.75" hidden="false" customHeight="true" outlineLevel="0" collapsed="false">
      <c r="A126" s="192" t="n">
        <f aca="false">RADIANS(MOD(B126-180,-360)+180)</f>
        <v>3.14159265358979</v>
      </c>
      <c r="B126" s="182" t="n">
        <v>180</v>
      </c>
      <c r="C126" s="1"/>
      <c r="D126" s="214" t="n">
        <f aca="false">DEGREES( ACOS( COS(D$112/57.3)  *  COS($B126/57.3)))</f>
        <v>179.986704272066</v>
      </c>
      <c r="E126" s="214" t="n">
        <f aca="false">DEGREES( ACOS( COS(E$112/57.3)  *  COS($B126/57.3)))</f>
        <v>165.001099114326</v>
      </c>
      <c r="F126" s="214" t="n">
        <f aca="false">DEGREES( ACOS( COS(F$112/57.3)  *  COS($B126/57.3)))</f>
        <v>150.002207021917</v>
      </c>
      <c r="G126" s="214" t="n">
        <f aca="false">DEGREES( ACOS( COS(G$112/57.3)  *  COS($B126/57.3)))</f>
        <v>135.003312984405</v>
      </c>
      <c r="H126" s="214" t="n">
        <f aca="false">DEGREES( ACOS( COS(H$112/57.3)  *  COS($B126/57.3)))</f>
        <v>120.004418472251</v>
      </c>
      <c r="I126" s="214" t="n">
        <f aca="false">DEGREES( ACOS( COS(I$112/57.3)  *  COS($B126/57.3)))</f>
        <v>105.00552378636</v>
      </c>
      <c r="J126" s="214" t="n">
        <f aca="false">DEGREES( ACOS( COS(J$112/57.3)  *  COS($B126/57.3)))</f>
        <v>90.006629036866</v>
      </c>
      <c r="K126" s="214" t="n">
        <f aca="false">DEGREES( ACOS( COS(K$112/57.3)  *  COS($B126/57.3)))</f>
        <v>75.0077342873467</v>
      </c>
      <c r="L126" s="214" t="n">
        <f aca="false">DEGREES( ACOS( COS(L$112/57.3)  *  COS($B126/57.3)))</f>
        <v>60.0088396013629</v>
      </c>
      <c r="M126" s="214" t="n">
        <f aca="false">DEGREES( ACOS( COS(M$112/57.3)  *  COS($B126/57.3)))</f>
        <v>45.0099450889724</v>
      </c>
      <c r="N126" s="214" t="n">
        <f aca="false">DEGREES( ACOS( COS(N$112/57.3)  *  COS($B126/57.3)))</f>
        <v>30.0110510507509</v>
      </c>
      <c r="O126" s="214" t="n">
        <f aca="false">DEGREES( ACOS( COS(O$112/57.3)  *  COS($B126/57.3)))</f>
        <v>15.0121589544657</v>
      </c>
      <c r="P126" s="214" t="n">
        <f aca="false">DEGREES( ACOS( COS(P$112/57.3)  *  COS($B126/57.3)))</f>
        <v>0.018749748107328</v>
      </c>
      <c r="Q126" s="214" t="n">
        <f aca="false">DEGREES( ACOS( COS(Q$112/57.3)  *  COS($B126/57.3)))</f>
        <v>15.0121589544657</v>
      </c>
      <c r="R126" s="214" t="n">
        <f aca="false">DEGREES( ACOS( COS(R$112/57.3)  *  COS($B126/57.3)))</f>
        <v>30.0110510507509</v>
      </c>
      <c r="S126" s="214" t="n">
        <f aca="false">DEGREES( ACOS( COS(S$112/57.3)  *  COS($B126/57.3)))</f>
        <v>45.0099450889724</v>
      </c>
      <c r="T126" s="214" t="n">
        <f aca="false">DEGREES( ACOS( COS(T$112/57.3)  *  COS($B126/57.3)))</f>
        <v>60.0088396013629</v>
      </c>
      <c r="U126" s="214" t="n">
        <f aca="false">DEGREES( ACOS( COS(U$112/57.3)  *  COS($B126/57.3)))</f>
        <v>75.0077342873467</v>
      </c>
      <c r="V126" s="214" t="n">
        <f aca="false">DEGREES( ACOS( COS(V$112/57.3)  *  COS($B126/57.3)))</f>
        <v>90.006629036866</v>
      </c>
      <c r="W126" s="214" t="n">
        <f aca="false">DEGREES( ACOS( COS(W$112/57.3)  *  COS($B126/57.3)))</f>
        <v>105.00552378636</v>
      </c>
      <c r="X126" s="214" t="n">
        <f aca="false">DEGREES( ACOS( COS(X$112/57.3)  *  COS($B126/57.3)))</f>
        <v>120.004418472251</v>
      </c>
      <c r="Y126" s="214" t="n">
        <f aca="false">DEGREES( ACOS( COS(Y$112/57.3)  *  COS($B126/57.3)))</f>
        <v>135.003312984405</v>
      </c>
      <c r="Z126" s="214" t="n">
        <f aca="false">DEGREES( ACOS( COS(Z$112/57.3)  *  COS($B126/57.3)))</f>
        <v>150.002207021917</v>
      </c>
      <c r="AA126" s="214" t="n">
        <f aca="false">DEGREES( ACOS( COS(AA$112/57.3)  *  COS($B126/57.3)))</f>
        <v>165.001099114326</v>
      </c>
      <c r="AB126" s="214" t="n">
        <f aca="false">DEGREES( ACOS( COS(AB$112/57.3)  *  COS($B126/57.3)))</f>
        <v>179.983393922924</v>
      </c>
      <c r="AC126" s="195" t="n">
        <f aca="false">DEGREES( ACOS( COS(AC$112/57.3)  *  COS($B126/57.3)))</f>
        <v>179.986741925915</v>
      </c>
      <c r="AD126" s="195" t="n">
        <f aca="false">DEGREES( ACOS( COS(AD$112/57.3)  *  COS($B126/57.3)))</f>
        <v>179.986741925915</v>
      </c>
      <c r="AE126" s="1"/>
      <c r="AF126" s="1"/>
      <c r="AG126" s="1"/>
      <c r="AH126" s="1"/>
      <c r="AI126" s="1"/>
      <c r="AJ126" s="1"/>
      <c r="AK126" s="1"/>
      <c r="AL126" s="1"/>
    </row>
    <row r="127" customFormat="false" ht="12.75" hidden="false" customHeight="true" outlineLevel="0" collapsed="false">
      <c r="A127" s="193" t="n">
        <f aca="false">RADIANS(MOD(B127-180,-360)+180)</f>
        <v>-2.87979326579064</v>
      </c>
      <c r="B127" s="182" t="n">
        <v>195</v>
      </c>
      <c r="C127" s="1"/>
      <c r="D127" s="214" t="n">
        <f aca="false">DEGREES( ACOS( COS(D$112/57.3)  *  COS($B127/57.3)))</f>
        <v>165.014362880998</v>
      </c>
      <c r="E127" s="210" t="n">
        <f aca="false">DEGREES( ACOS( COS(E$112/57.3)  *  COS($B127/57.3)))</f>
        <v>158.920162957813</v>
      </c>
      <c r="F127" s="210" t="n">
        <f aca="false">DEGREES( ACOS( COS(F$112/57.3)  *  COS($B127/57.3)))</f>
        <v>146.781878931681</v>
      </c>
      <c r="G127" s="210" t="n">
        <f aca="false">DEGREES( ACOS( COS(G$112/57.3)  *  COS($B127/57.3)))</f>
        <v>133.086214204571</v>
      </c>
      <c r="H127" s="210" t="n">
        <f aca="false">DEGREES( ACOS( COS(H$112/57.3)  *  COS($B127/57.3)))</f>
        <v>118.885437975841</v>
      </c>
      <c r="I127" s="210" t="n">
        <f aca="false">DEGREES( ACOS( COS(I$112/57.3)  *  COS($B127/57.3)))</f>
        <v>104.483828965672</v>
      </c>
      <c r="J127" s="214" t="n">
        <f aca="false">DEGREES( ACOS( COS(J$112/57.3)  *  COS($B127/57.3)))</f>
        <v>90.0064035879788</v>
      </c>
      <c r="K127" s="210" t="n">
        <f aca="false">DEGREES( ACOS( COS(K$112/57.3)  *  COS($B127/57.3)))</f>
        <v>75.5289475849541</v>
      </c>
      <c r="L127" s="210" t="n">
        <f aca="false">DEGREES( ACOS( COS(L$112/57.3)  *  COS($B127/57.3)))</f>
        <v>61.1272288479394</v>
      </c>
      <c r="M127" s="210" t="n">
        <f aca="false">DEGREES( ACOS( COS(M$112/57.3)  *  COS($B127/57.3)))</f>
        <v>46.9261852447791</v>
      </c>
      <c r="N127" s="210" t="n">
        <f aca="false">DEGREES( ACOS( COS(N$112/57.3)  *  COS($B127/57.3)))</f>
        <v>33.2298098609226</v>
      </c>
      <c r="O127" s="210" t="n">
        <f aca="false">DEGREES( ACOS( COS(O$112/57.3)  *  COS($B127/57.3)))</f>
        <v>21.0890545361707</v>
      </c>
      <c r="P127" s="214" t="n">
        <f aca="false">DEGREES( ACOS( COS(P$112/57.3)  *  COS($B127/57.3)))</f>
        <v>14.9856428168909</v>
      </c>
      <c r="Q127" s="210" t="n">
        <f aca="false">DEGREES( ACOS( COS(Q$112/57.3)  *  COS($B127/57.3)))</f>
        <v>21.0890545361707</v>
      </c>
      <c r="R127" s="210" t="n">
        <f aca="false">DEGREES( ACOS( COS(R$112/57.3)  *  COS($B127/57.3)))</f>
        <v>33.2298098609226</v>
      </c>
      <c r="S127" s="210" t="n">
        <f aca="false">DEGREES( ACOS( COS(S$112/57.3)  *  COS($B127/57.3)))</f>
        <v>46.9261852447791</v>
      </c>
      <c r="T127" s="210" t="n">
        <f aca="false">DEGREES( ACOS( COS(T$112/57.3)  *  COS($B127/57.3)))</f>
        <v>61.1272288479394</v>
      </c>
      <c r="U127" s="210" t="n">
        <f aca="false">DEGREES( ACOS( COS(U$112/57.3)  *  COS($B127/57.3)))</f>
        <v>75.5289475849541</v>
      </c>
      <c r="V127" s="214" t="n">
        <f aca="false">DEGREES( ACOS( COS(V$112/57.3)  *  COS($B127/57.3)))</f>
        <v>90.0064035879788</v>
      </c>
      <c r="W127" s="210" t="n">
        <f aca="false">DEGREES( ACOS( COS(W$112/57.3)  *  COS($B127/57.3)))</f>
        <v>104.483828965672</v>
      </c>
      <c r="X127" s="210" t="n">
        <f aca="false">DEGREES( ACOS( COS(X$112/57.3)  *  COS($B127/57.3)))</f>
        <v>118.885437975841</v>
      </c>
      <c r="Y127" s="210" t="n">
        <f aca="false">DEGREES( ACOS( COS(Y$112/57.3)  *  COS($B127/57.3)))</f>
        <v>133.086214204571</v>
      </c>
      <c r="Z127" s="210" t="n">
        <f aca="false">DEGREES( ACOS( COS(Z$112/57.3)  *  COS($B127/57.3)))</f>
        <v>146.781878931681</v>
      </c>
      <c r="AA127" s="210" t="n">
        <f aca="false">DEGREES( ACOS( COS(AA$112/57.3)  *  COS($B127/57.3)))</f>
        <v>158.920162957813</v>
      </c>
      <c r="AB127" s="214" t="n">
        <f aca="false">DEGREES( ACOS( COS(AB$112/57.3)  *  COS($B127/57.3)))</f>
        <v>165.014359653977</v>
      </c>
      <c r="AC127" s="195" t="n">
        <f aca="false">DEGREES( ACOS( COS(AC$112/57.3)  *  COS($B127/57.3)))</f>
        <v>165.014362913594</v>
      </c>
      <c r="AD127" s="195" t="n">
        <f aca="false">DEGREES( ACOS( COS(AD$112/57.3)  *  COS($B127/57.3)))</f>
        <v>165.014362913594</v>
      </c>
      <c r="AE127" s="1"/>
      <c r="AF127" s="1"/>
      <c r="AG127" s="1"/>
      <c r="AH127" s="1"/>
      <c r="AI127" s="1"/>
      <c r="AJ127" s="1"/>
      <c r="AK127" s="1"/>
      <c r="AL127" s="1"/>
    </row>
    <row r="128" customFormat="false" ht="12.75" hidden="false" customHeight="true" outlineLevel="0" collapsed="false">
      <c r="A128" s="193" t="n">
        <f aca="false">RADIANS(MOD(B128-180,-360)+180)</f>
        <v>-2.61799387799149</v>
      </c>
      <c r="B128" s="182" t="n">
        <v>210</v>
      </c>
      <c r="C128" s="1"/>
      <c r="D128" s="214" t="n">
        <f aca="false">DEGREES( ACOS( COS(D$112/57.3)  *  COS($B128/57.3)))</f>
        <v>150.015467737979</v>
      </c>
      <c r="E128" s="210" t="n">
        <f aca="false">DEGREES( ACOS( COS(E$112/57.3)  *  COS($B128/57.3)))</f>
        <v>146.788142727142</v>
      </c>
      <c r="F128" s="210" t="n">
        <f aca="false">DEGREES( ACOS( COS(F$112/57.3)  *  COS($B128/57.3)))</f>
        <v>138.601949621189</v>
      </c>
      <c r="G128" s="210" t="n">
        <f aca="false">DEGREES( ACOS( COS(G$112/57.3)  *  COS($B128/57.3)))</f>
        <v>127.770728028046</v>
      </c>
      <c r="H128" s="210" t="n">
        <f aca="false">DEGREES( ACOS( COS(H$112/57.3)  *  COS($B128/57.3)))</f>
        <v>115.666873138424</v>
      </c>
      <c r="I128" s="210" t="n">
        <f aca="false">DEGREES( ACOS( COS(I$112/57.3)  *  COS($B128/57.3)))</f>
        <v>102.959335596612</v>
      </c>
      <c r="J128" s="214" t="n">
        <f aca="false">DEGREES( ACOS( COS(J$112/57.3)  *  COS($B128/57.3)))</f>
        <v>90.0057418090679</v>
      </c>
      <c r="K128" s="210" t="n">
        <f aca="false">DEGREES( ACOS( COS(K$112/57.3)  *  COS($B128/57.3)))</f>
        <v>77.0520464369432</v>
      </c>
      <c r="L128" s="210" t="n">
        <f aca="false">DEGREES( ACOS( COS(L$112/57.3)  *  COS($B128/57.3)))</f>
        <v>64.3441604373216</v>
      </c>
      <c r="M128" s="210" t="n">
        <f aca="false">DEGREES( ACOS( COS(M$112/57.3)  *  COS($B128/57.3)))</f>
        <v>52.2395444302778</v>
      </c>
      <c r="N128" s="210" t="n">
        <f aca="false">DEGREES( ACOS( COS(N$112/57.3)  *  COS($B128/57.3)))</f>
        <v>41.4067335803727</v>
      </c>
      <c r="O128" s="210" t="n">
        <f aca="false">DEGREES( ACOS( COS(O$112/57.3)  *  COS($B128/57.3)))</f>
        <v>33.2172851274759</v>
      </c>
      <c r="P128" s="214" t="n">
        <f aca="false">DEGREES( ACOS( COS(P$112/57.3)  *  COS($B128/57.3)))</f>
        <v>29.9845349054169</v>
      </c>
      <c r="Q128" s="210" t="n">
        <f aca="false">DEGREES( ACOS( COS(Q$112/57.3)  *  COS($B128/57.3)))</f>
        <v>33.2172851274759</v>
      </c>
      <c r="R128" s="210" t="n">
        <f aca="false">DEGREES( ACOS( COS(R$112/57.3)  *  COS($B128/57.3)))</f>
        <v>41.4067335803727</v>
      </c>
      <c r="S128" s="210" t="n">
        <f aca="false">DEGREES( ACOS( COS(S$112/57.3)  *  COS($B128/57.3)))</f>
        <v>52.2395444302778</v>
      </c>
      <c r="T128" s="210" t="n">
        <f aca="false">DEGREES( ACOS( COS(T$112/57.3)  *  COS($B128/57.3)))</f>
        <v>64.3441604373216</v>
      </c>
      <c r="U128" s="210" t="n">
        <f aca="false">DEGREES( ACOS( COS(U$112/57.3)  *  COS($B128/57.3)))</f>
        <v>77.0520464369432</v>
      </c>
      <c r="V128" s="214" t="n">
        <f aca="false">DEGREES( ACOS( COS(V$112/57.3)  *  COS($B128/57.3)))</f>
        <v>90.0057418090679</v>
      </c>
      <c r="W128" s="210" t="n">
        <f aca="false">DEGREES( ACOS( COS(W$112/57.3)  *  COS($B128/57.3)))</f>
        <v>102.959335596612</v>
      </c>
      <c r="X128" s="210" t="n">
        <f aca="false">DEGREES( ACOS( COS(X$112/57.3)  *  COS($B128/57.3)))</f>
        <v>115.666873138424</v>
      </c>
      <c r="Y128" s="210" t="n">
        <f aca="false">DEGREES( ACOS( COS(Y$112/57.3)  *  COS($B128/57.3)))</f>
        <v>127.770728028046</v>
      </c>
      <c r="Z128" s="210" t="n">
        <f aca="false">DEGREES( ACOS( COS(Z$112/57.3)  *  COS($B128/57.3)))</f>
        <v>138.601949621189</v>
      </c>
      <c r="AA128" s="210" t="n">
        <f aca="false">DEGREES( ACOS( COS(AA$112/57.3)  *  COS($B128/57.3)))</f>
        <v>146.788142727142</v>
      </c>
      <c r="AB128" s="214" t="n">
        <f aca="false">DEGREES( ACOS( COS(AB$112/57.3)  *  COS($B128/57.3)))</f>
        <v>150.015466240882</v>
      </c>
      <c r="AC128" s="195" t="n">
        <f aca="false">DEGREES( ACOS( COS(AC$112/57.3)  *  COS($B128/57.3)))</f>
        <v>150.015467753101</v>
      </c>
      <c r="AD128" s="195" t="n">
        <f aca="false">DEGREES( ACOS( COS(AD$112/57.3)  *  COS($B128/57.3)))</f>
        <v>150.015467753101</v>
      </c>
      <c r="AE128" s="1"/>
      <c r="AF128" s="1"/>
      <c r="AG128" s="1"/>
      <c r="AH128" s="1"/>
      <c r="AI128" s="1"/>
      <c r="AJ128" s="1"/>
      <c r="AK128" s="1"/>
      <c r="AL128" s="1"/>
    </row>
    <row r="129" customFormat="false" ht="12.75" hidden="false" customHeight="true" outlineLevel="0" collapsed="false">
      <c r="A129" s="193" t="n">
        <f aca="false">RADIANS(MOD(B129-180,-360)+180)</f>
        <v>-2.35619449019234</v>
      </c>
      <c r="B129" s="182" t="n">
        <v>225</v>
      </c>
      <c r="C129" s="1"/>
      <c r="D129" s="214" t="n">
        <f aca="false">DEGREES( ACOS( COS(D$112/57.3)  *  COS($B129/57.3)))</f>
        <v>135.016572583878</v>
      </c>
      <c r="E129" s="210" t="n">
        <f aca="false">DEGREES( ACOS( COS(E$112/57.3)  *  COS($B129/57.3)))</f>
        <v>133.095291081715</v>
      </c>
      <c r="F129" s="210" t="n">
        <f aca="false">DEGREES( ACOS( COS(F$112/57.3)  *  COS($B129/57.3)))</f>
        <v>127.775068868726</v>
      </c>
      <c r="G129" s="210" t="n">
        <f aca="false">DEGREES( ACOS( COS(G$112/57.3)  *  COS($B129/57.3)))</f>
        <v>120.01148160738</v>
      </c>
      <c r="H129" s="210" t="n">
        <f aca="false">DEGREES( ACOS( COS(H$112/57.3)  *  COS($B129/57.3)))</f>
        <v>110.713968197726</v>
      </c>
      <c r="I129" s="210" t="n">
        <f aca="false">DEGREES( ACOS( COS(I$112/57.3)  *  COS($B129/57.3)))</f>
        <v>100.552214299531</v>
      </c>
      <c r="J129" s="214" t="n">
        <f aca="false">DEGREES( ACOS( COS(J$112/57.3)  *  COS($B129/57.3)))</f>
        <v>90.0046887926687</v>
      </c>
      <c r="K129" s="210" t="n">
        <f aca="false">DEGREES( ACOS( COS(K$112/57.3)  *  COS($B129/57.3)))</f>
        <v>79.4569994830592</v>
      </c>
      <c r="L129" s="210" t="n">
        <f aca="false">DEGREES( ACOS( COS(L$112/57.3)  *  COS($B129/57.3)))</f>
        <v>69.2947142284389</v>
      </c>
      <c r="M129" s="210" t="n">
        <f aca="false">DEGREES( ACOS( COS(M$112/57.3)  *  COS($B129/57.3)))</f>
        <v>59.9961761924979</v>
      </c>
      <c r="N129" s="210" t="n">
        <f aca="false">DEGREES( ACOS( COS(N$112/57.3)  *  COS($B129/57.3)))</f>
        <v>52.2308637003435</v>
      </c>
      <c r="O129" s="210" t="n">
        <f aca="false">DEGREES( ACOS( COS(O$112/57.3)  *  COS($B129/57.3)))</f>
        <v>46.9080338208003</v>
      </c>
      <c r="P129" s="214" t="n">
        <f aca="false">DEGREES( ACOS( COS(P$112/57.3)  *  COS($B129/57.3)))</f>
        <v>44.9834289422185</v>
      </c>
      <c r="Q129" s="210" t="n">
        <f aca="false">DEGREES( ACOS( COS(Q$112/57.3)  *  COS($B129/57.3)))</f>
        <v>46.9080338208003</v>
      </c>
      <c r="R129" s="210" t="n">
        <f aca="false">DEGREES( ACOS( COS(R$112/57.3)  *  COS($B129/57.3)))</f>
        <v>52.2308637003435</v>
      </c>
      <c r="S129" s="210" t="n">
        <f aca="false">DEGREES( ACOS( COS(S$112/57.3)  *  COS($B129/57.3)))</f>
        <v>59.9961761924979</v>
      </c>
      <c r="T129" s="210" t="n">
        <f aca="false">DEGREES( ACOS( COS(T$112/57.3)  *  COS($B129/57.3)))</f>
        <v>69.2947142284389</v>
      </c>
      <c r="U129" s="210" t="n">
        <f aca="false">DEGREES( ACOS( COS(U$112/57.3)  *  COS($B129/57.3)))</f>
        <v>79.4569994830592</v>
      </c>
      <c r="V129" s="214" t="n">
        <f aca="false">DEGREES( ACOS( COS(V$112/57.3)  *  COS($B129/57.3)))</f>
        <v>90.0046887926687</v>
      </c>
      <c r="W129" s="210" t="n">
        <f aca="false">DEGREES( ACOS( COS(W$112/57.3)  *  COS($B129/57.3)))</f>
        <v>100.552214299531</v>
      </c>
      <c r="X129" s="210" t="n">
        <f aca="false">DEGREES( ACOS( COS(X$112/57.3)  *  COS($B129/57.3)))</f>
        <v>110.713968197726</v>
      </c>
      <c r="Y129" s="210" t="n">
        <f aca="false">DEGREES( ACOS( COS(Y$112/57.3)  *  COS($B129/57.3)))</f>
        <v>120.01148160738</v>
      </c>
      <c r="Z129" s="210" t="n">
        <f aca="false">DEGREES( ACOS( COS(Z$112/57.3)  *  COS($B129/57.3)))</f>
        <v>127.775068868726</v>
      </c>
      <c r="AA129" s="210" t="n">
        <f aca="false">DEGREES( ACOS( COS(AA$112/57.3)  *  COS($B129/57.3)))</f>
        <v>133.095291081715</v>
      </c>
      <c r="AB129" s="214" t="n">
        <f aca="false">DEGREES( ACOS( COS(AB$112/57.3)  *  COS($B129/57.3)))</f>
        <v>135.016571719568</v>
      </c>
      <c r="AC129" s="195" t="n">
        <f aca="false">DEGREES( ACOS( COS(AC$112/57.3)  *  COS($B129/57.3)))</f>
        <v>135.016572592609</v>
      </c>
      <c r="AD129" s="195" t="n">
        <f aca="false">DEGREES( ACOS( COS(AD$112/57.3)  *  COS($B129/57.3)))</f>
        <v>135.016572592609</v>
      </c>
      <c r="AE129" s="1"/>
      <c r="AF129" s="1"/>
      <c r="AG129" s="1"/>
      <c r="AH129" s="1"/>
      <c r="AI129" s="1"/>
      <c r="AJ129" s="1"/>
      <c r="AK129" s="1"/>
      <c r="AL129" s="1"/>
    </row>
    <row r="130" customFormat="false" ht="12.75" hidden="false" customHeight="true" outlineLevel="0" collapsed="false">
      <c r="A130" s="193" t="n">
        <f aca="false">RADIANS(MOD(B130-180,-360)+180)</f>
        <v>-2.0943951023932</v>
      </c>
      <c r="B130" s="182" t="n">
        <v>240</v>
      </c>
      <c r="C130" s="1"/>
      <c r="D130" s="214" t="n">
        <f aca="false">DEGREES( ACOS( COS(D$112/57.3)  *  COS($B130/57.3)))</f>
        <v>120.017677427075</v>
      </c>
      <c r="E130" s="210" t="n">
        <f aca="false">DEGREES( ACOS( COS(E$112/57.3)  *  COS($B130/57.3)))</f>
        <v>118.896144863295</v>
      </c>
      <c r="F130" s="210" t="n">
        <f aca="false">DEGREES( ACOS( COS(F$112/57.3)  *  COS($B130/57.3)))</f>
        <v>115.674227621554</v>
      </c>
      <c r="G130" s="210" t="n">
        <f aca="false">DEGREES( ACOS( COS(G$112/57.3)  *  COS($B130/57.3)))</f>
        <v>110.717636565629</v>
      </c>
      <c r="H130" s="210" t="n">
        <f aca="false">DEGREES( ACOS( COS(H$112/57.3)  *  COS($B130/57.3)))</f>
        <v>104.487394698809</v>
      </c>
      <c r="I130" s="210" t="n">
        <f aca="false">DEGREES( ACOS( COS(I$112/57.3)  *  COS($B130/57.3)))</f>
        <v>97.4421598197739</v>
      </c>
      <c r="J130" s="214" t="n">
        <f aca="false">DEGREES( ACOS( COS(J$112/57.3)  *  COS($B130/57.3)))</f>
        <v>90.0033162895993</v>
      </c>
      <c r="K130" s="210" t="n">
        <f aca="false">DEGREES( ACOS( COS(K$112/57.3)  *  COS($B130/57.3)))</f>
        <v>82.5643011723005</v>
      </c>
      <c r="L130" s="210" t="n">
        <f aca="false">DEGREES( ACOS( COS(L$112/57.3)  *  COS($B130/57.3)))</f>
        <v>75.5185379774065</v>
      </c>
      <c r="M130" s="210" t="n">
        <f aca="false">DEGREES( ACOS( COS(M$112/57.3)  *  COS($B130/57.3)))</f>
        <v>69.2873778244032</v>
      </c>
      <c r="N130" s="210" t="n">
        <f aca="false">DEGREES( ACOS( COS(N$112/57.3)  *  COS($B130/57.3)))</f>
        <v>64.3294523789907</v>
      </c>
      <c r="O130" s="210" t="n">
        <f aca="false">DEGREES( ACOS( COS(O$112/57.3)  *  COS($B130/57.3)))</f>
        <v>61.1058165816812</v>
      </c>
      <c r="P130" s="214" t="n">
        <f aca="false">DEGREES( ACOS( COS(P$112/57.3)  *  COS($B130/57.3)))</f>
        <v>59.9823234541356</v>
      </c>
      <c r="Q130" s="210" t="n">
        <f aca="false">DEGREES( ACOS( COS(Q$112/57.3)  *  COS($B130/57.3)))</f>
        <v>61.1058165816812</v>
      </c>
      <c r="R130" s="210" t="n">
        <f aca="false">DEGREES( ACOS( COS(R$112/57.3)  *  COS($B130/57.3)))</f>
        <v>64.3294523789907</v>
      </c>
      <c r="S130" s="210" t="n">
        <f aca="false">DEGREES( ACOS( COS(S$112/57.3)  *  COS($B130/57.3)))</f>
        <v>69.2873778244032</v>
      </c>
      <c r="T130" s="210" t="n">
        <f aca="false">DEGREES( ACOS( COS(T$112/57.3)  *  COS($B130/57.3)))</f>
        <v>75.5185379774065</v>
      </c>
      <c r="U130" s="210" t="n">
        <f aca="false">DEGREES( ACOS( COS(U$112/57.3)  *  COS($B130/57.3)))</f>
        <v>82.5643011723005</v>
      </c>
      <c r="V130" s="214" t="n">
        <f aca="false">DEGREES( ACOS( COS(V$112/57.3)  *  COS($B130/57.3)))</f>
        <v>90.0033162895993</v>
      </c>
      <c r="W130" s="210" t="n">
        <f aca="false">DEGREES( ACOS( COS(W$112/57.3)  *  COS($B130/57.3)))</f>
        <v>97.4421598197739</v>
      </c>
      <c r="X130" s="210" t="n">
        <f aca="false">DEGREES( ACOS( COS(X$112/57.3)  *  COS($B130/57.3)))</f>
        <v>104.487394698809</v>
      </c>
      <c r="Y130" s="210" t="n">
        <f aca="false">DEGREES( ACOS( COS(Y$112/57.3)  *  COS($B130/57.3)))</f>
        <v>110.717636565629</v>
      </c>
      <c r="Z130" s="210" t="n">
        <f aca="false">DEGREES( ACOS( COS(Z$112/57.3)  *  COS($B130/57.3)))</f>
        <v>115.674227621554</v>
      </c>
      <c r="AA130" s="210" t="n">
        <f aca="false">DEGREES( ACOS( COS(AA$112/57.3)  *  COS($B130/57.3)))</f>
        <v>118.896144863295</v>
      </c>
      <c r="AB130" s="214" t="n">
        <f aca="false">DEGREES( ACOS( COS(AB$112/57.3)  *  COS($B130/57.3)))</f>
        <v>120.017676927998</v>
      </c>
      <c r="AC130" s="195" t="n">
        <f aca="false">DEGREES( ACOS( COS(AC$112/57.3)  *  COS($B130/57.3)))</f>
        <v>120.017677432116</v>
      </c>
      <c r="AD130" s="195" t="n">
        <f aca="false">DEGREES( ACOS( COS(AD$112/57.3)  *  COS($B130/57.3)))</f>
        <v>120.017677432116</v>
      </c>
      <c r="AE130" s="1"/>
      <c r="AF130" s="1"/>
      <c r="AG130" s="1"/>
      <c r="AH130" s="1"/>
      <c r="AI130" s="1"/>
      <c r="AJ130" s="1"/>
      <c r="AK130" s="1"/>
      <c r="AL130" s="1"/>
    </row>
    <row r="131" customFormat="false" ht="12.75" hidden="false" customHeight="true" outlineLevel="0" collapsed="false">
      <c r="A131" s="193" t="n">
        <f aca="false">RADIANS(MOD(B131-180,-360)+180)</f>
        <v>-1.83259571459405</v>
      </c>
      <c r="B131" s="182" t="n">
        <v>255</v>
      </c>
      <c r="C131" s="1"/>
      <c r="D131" s="214" t="n">
        <f aca="false">DEGREES( ACOS( COS(D$112/57.3)  *  COS($B131/57.3)))</f>
        <v>105.018782269282</v>
      </c>
      <c r="E131" s="210" t="n">
        <f aca="false">DEGREES( ACOS( COS(E$112/57.3)  *  COS($B131/57.3)))</f>
        <v>104.495687474126</v>
      </c>
      <c r="F131" s="210" t="n">
        <f aca="false">DEGREES( ACOS( COS(F$112/57.3)  *  COS($B131/57.3)))</f>
        <v>102.968955123839</v>
      </c>
      <c r="G131" s="210" t="n">
        <f aca="false">DEGREES( ACOS( COS(G$112/57.3)  *  COS($B131/57.3)))</f>
        <v>100.558956995983</v>
      </c>
      <c r="H131" s="210" t="n">
        <f aca="false">DEGREES( ACOS( COS(H$112/57.3)  *  COS($B131/57.3)))</f>
        <v>97.4456201780431</v>
      </c>
      <c r="I131" s="210" t="n">
        <f aca="false">DEGREES( ACOS( COS(I$112/57.3)  *  COS($B131/57.3)))</f>
        <v>93.8470575038031</v>
      </c>
      <c r="J131" s="214" t="n">
        <f aca="false">DEGREES( ACOS( COS(J$112/57.3)  *  COS($B131/57.3)))</f>
        <v>90.0017178199769</v>
      </c>
      <c r="K131" s="210" t="n">
        <f aca="false">DEGREES( ACOS( COS(K$112/57.3)  *  COS($B131/57.3)))</f>
        <v>86.1562685748798</v>
      </c>
      <c r="L131" s="210" t="n">
        <f aca="false">DEGREES( ACOS( COS(L$112/57.3)  *  COS($B131/57.3)))</f>
        <v>82.5573805305818</v>
      </c>
      <c r="M131" s="210" t="n">
        <f aca="false">DEGREES( ACOS( COS(M$112/57.3)  *  COS($B131/57.3)))</f>
        <v>79.4435143466644</v>
      </c>
      <c r="N131" s="210" t="n">
        <f aca="false">DEGREES( ACOS( COS(N$112/57.3)  *  COS($B131/57.3)))</f>
        <v>77.0328078908584</v>
      </c>
      <c r="O131" s="210" t="n">
        <f aca="false">DEGREES( ACOS( COS(O$112/57.3)  *  COS($B131/57.3)))</f>
        <v>75.5052313008795</v>
      </c>
      <c r="P131" s="214" t="n">
        <f aca="false">DEGREES( ACOS( COS(P$112/57.3)  *  COS($B131/57.3)))</f>
        <v>74.9812181399337</v>
      </c>
      <c r="Q131" s="210" t="n">
        <f aca="false">DEGREES( ACOS( COS(Q$112/57.3)  *  COS($B131/57.3)))</f>
        <v>75.5052313008795</v>
      </c>
      <c r="R131" s="210" t="n">
        <f aca="false">DEGREES( ACOS( COS(R$112/57.3)  *  COS($B131/57.3)))</f>
        <v>77.0328078908584</v>
      </c>
      <c r="S131" s="210" t="n">
        <f aca="false">DEGREES( ACOS( COS(S$112/57.3)  *  COS($B131/57.3)))</f>
        <v>79.4435143466644</v>
      </c>
      <c r="T131" s="210" t="n">
        <f aca="false">DEGREES( ACOS( COS(T$112/57.3)  *  COS($B131/57.3)))</f>
        <v>82.5573805305818</v>
      </c>
      <c r="U131" s="210" t="n">
        <f aca="false">DEGREES( ACOS( COS(U$112/57.3)  *  COS($B131/57.3)))</f>
        <v>86.1562685748798</v>
      </c>
      <c r="V131" s="214" t="n">
        <f aca="false">DEGREES( ACOS( COS(V$112/57.3)  *  COS($B131/57.3)))</f>
        <v>90.0017178199769</v>
      </c>
      <c r="W131" s="210" t="n">
        <f aca="false">DEGREES( ACOS( COS(W$112/57.3)  *  COS($B131/57.3)))</f>
        <v>93.8470575038031</v>
      </c>
      <c r="X131" s="210" t="n">
        <f aca="false">DEGREES( ACOS( COS(X$112/57.3)  *  COS($B131/57.3)))</f>
        <v>97.4456201780431</v>
      </c>
      <c r="Y131" s="210" t="n">
        <f aca="false">DEGREES( ACOS( COS(Y$112/57.3)  *  COS($B131/57.3)))</f>
        <v>100.558956995983</v>
      </c>
      <c r="Z131" s="210" t="n">
        <f aca="false">DEGREES( ACOS( COS(Z$112/57.3)  *  COS($B131/57.3)))</f>
        <v>102.968955123839</v>
      </c>
      <c r="AA131" s="210" t="n">
        <f aca="false">DEGREES( ACOS( COS(AA$112/57.3)  *  COS($B131/57.3)))</f>
        <v>104.495687474126</v>
      </c>
      <c r="AB131" s="214" t="n">
        <f aca="false">DEGREES( ACOS( COS(AB$112/57.3)  *  COS($B131/57.3)))</f>
        <v>105.018782037521</v>
      </c>
      <c r="AC131" s="195" t="n">
        <f aca="false">DEGREES( ACOS( COS(AC$112/57.3)  *  COS($B131/57.3)))</f>
        <v>105.018782271623</v>
      </c>
      <c r="AD131" s="195" t="n">
        <f aca="false">DEGREES( ACOS( COS(AD$112/57.3)  *  COS($B131/57.3)))</f>
        <v>105.018782271623</v>
      </c>
      <c r="AE131" s="1"/>
      <c r="AF131" s="1"/>
      <c r="AG131" s="1"/>
      <c r="AH131" s="1"/>
      <c r="AI131" s="1"/>
      <c r="AJ131" s="1"/>
      <c r="AK131" s="1"/>
      <c r="AL131" s="1"/>
    </row>
    <row r="132" customFormat="false" ht="12.75" hidden="false" customHeight="true" outlineLevel="0" collapsed="false">
      <c r="A132" s="193" t="n">
        <f aca="false">RADIANS(MOD(B132-180,-360)+180)</f>
        <v>-1.5707963267949</v>
      </c>
      <c r="B132" s="182" t="n">
        <v>270</v>
      </c>
      <c r="C132" s="1"/>
      <c r="D132" s="214" t="n">
        <f aca="false">DEGREES( ACOS( COS(D$112/57.3)  *  COS($B132/57.3)))</f>
        <v>90.0198871111274</v>
      </c>
      <c r="E132" s="214" t="n">
        <f aca="false">DEGREES( ACOS( COS(E$112/57.3)  *  COS($B132/57.3)))</f>
        <v>90.0192095734749</v>
      </c>
      <c r="F132" s="214" t="n">
        <f aca="false">DEGREES( ACOS( COS(F$112/57.3)  *  COS($B132/57.3)))</f>
        <v>90.0172231268325</v>
      </c>
      <c r="G132" s="214" t="n">
        <f aca="false">DEGREES( ACOS( COS(G$112/57.3)  *  COS($B132/57.3)))</f>
        <v>90.0140631244681</v>
      </c>
      <c r="H132" s="214" t="n">
        <f aca="false">DEGREES( ACOS( COS(H$112/57.3)  *  COS($B132/57.3)))</f>
        <v>90.0099448838165</v>
      </c>
      <c r="I132" s="214" t="n">
        <f aca="false">DEGREES( ACOS( COS(I$112/57.3)  *  COS($B132/57.3)))</f>
        <v>90.0051490150821</v>
      </c>
      <c r="J132" s="214" t="n">
        <f aca="false">DEGREES( ACOS( COS(J$112/57.3)  *  COS($B132/57.3)))</f>
        <v>90.0000023009094</v>
      </c>
      <c r="K132" s="214" t="n">
        <f aca="false">DEGREES( ACOS( COS(K$112/57.3)  *  COS($B132/57.3)))</f>
        <v>89.9948554299564</v>
      </c>
      <c r="L132" s="214" t="n">
        <f aca="false">DEGREES( ACOS( COS(L$112/57.3)  *  COS($B132/57.3)))</f>
        <v>89.9900591015641</v>
      </c>
      <c r="M132" s="214" t="n">
        <f aca="false">DEGREES( ACOS( COS(M$112/57.3)  *  COS($B132/57.3)))</f>
        <v>89.9859401296974</v>
      </c>
      <c r="N132" s="214" t="n">
        <f aca="false">DEGREES( ACOS( COS(N$112/57.3)  *  COS($B132/57.3)))</f>
        <v>89.9827791743844</v>
      </c>
      <c r="O132" s="214" t="n">
        <f aca="false">DEGREES( ACOS( COS(O$112/57.3)  *  COS($B132/57.3)))</f>
        <v>89.980791617992</v>
      </c>
      <c r="P132" s="214" t="n">
        <f aca="false">DEGREES( ACOS( COS(P$112/57.3)  *  COS($B132/57.3)))</f>
        <v>89.980112889402</v>
      </c>
      <c r="Q132" s="214" t="n">
        <f aca="false">DEGREES( ACOS( COS(Q$112/57.3)  *  COS($B132/57.3)))</f>
        <v>89.980791617992</v>
      </c>
      <c r="R132" s="214" t="n">
        <f aca="false">DEGREES( ACOS( COS(R$112/57.3)  *  COS($B132/57.3)))</f>
        <v>89.9827791743844</v>
      </c>
      <c r="S132" s="214" t="n">
        <f aca="false">DEGREES( ACOS( COS(S$112/57.3)  *  COS($B132/57.3)))</f>
        <v>89.9859401296974</v>
      </c>
      <c r="T132" s="214" t="n">
        <f aca="false">DEGREES( ACOS( COS(T$112/57.3)  *  COS($B132/57.3)))</f>
        <v>89.9900591015641</v>
      </c>
      <c r="U132" s="214" t="n">
        <f aca="false">DEGREES( ACOS( COS(U$112/57.3)  *  COS($B132/57.3)))</f>
        <v>89.9948554299564</v>
      </c>
      <c r="V132" s="214" t="n">
        <f aca="false">DEGREES( ACOS( COS(V$112/57.3)  *  COS($B132/57.3)))</f>
        <v>90.0000023009094</v>
      </c>
      <c r="W132" s="214" t="n">
        <f aca="false">DEGREES( ACOS( COS(W$112/57.3)  *  COS($B132/57.3)))</f>
        <v>90.0051490150821</v>
      </c>
      <c r="X132" s="214" t="n">
        <f aca="false">DEGREES( ACOS( COS(X$112/57.3)  *  COS($B132/57.3)))</f>
        <v>90.0099448838165</v>
      </c>
      <c r="Y132" s="214" t="n">
        <f aca="false">DEGREES( ACOS( COS(Y$112/57.3)  *  COS($B132/57.3)))</f>
        <v>90.0140631244681</v>
      </c>
      <c r="Z132" s="214" t="n">
        <f aca="false">DEGREES( ACOS( COS(Z$112/57.3)  *  COS($B132/57.3)))</f>
        <v>90.0172231268325</v>
      </c>
      <c r="AA132" s="214" t="n">
        <f aca="false">DEGREES( ACOS( COS(AA$112/57.3)  *  COS($B132/57.3)))</f>
        <v>90.0192095734749</v>
      </c>
      <c r="AB132" s="214" t="n">
        <f aca="false">DEGREES( ACOS( COS(AB$112/57.3)  *  COS($B132/57.3)))</f>
        <v>90.0198871108276</v>
      </c>
      <c r="AC132" s="195" t="n">
        <f aca="false">DEGREES( ACOS( COS(AC$112/57.3)  *  COS($B132/57.3)))</f>
        <v>90.0198871111304</v>
      </c>
      <c r="AD132" s="195" t="n">
        <f aca="false">DEGREES( ACOS( COS(AD$112/57.3)  *  COS($B132/57.3)))</f>
        <v>90.0198871111304</v>
      </c>
      <c r="AE132" s="1"/>
      <c r="AF132" s="1"/>
      <c r="AG132" s="1"/>
      <c r="AH132" s="1"/>
      <c r="AI132" s="1"/>
      <c r="AJ132" s="1"/>
      <c r="AK132" s="1"/>
      <c r="AL132" s="1"/>
    </row>
    <row r="133" customFormat="false" ht="12.75" hidden="false" customHeight="true" outlineLevel="0" collapsed="false">
      <c r="A133" s="193" t="n">
        <f aca="false">RADIANS(MOD(B133-180,-360)+180)</f>
        <v>-1.30899693899575</v>
      </c>
      <c r="B133" s="182" t="n">
        <v>285</v>
      </c>
      <c r="C133" s="1"/>
      <c r="D133" s="214" t="n">
        <f aca="false">DEGREES( ACOS( COS(D$112/57.3)  *  COS($B133/57.3)))</f>
        <v>75.0209919529722</v>
      </c>
      <c r="E133" s="210" t="n">
        <f aca="false">DEGREES( ACOS( COS(E$112/57.3)  *  COS($B133/57.3)))</f>
        <v>75.5426396441829</v>
      </c>
      <c r="F133" s="210" t="n">
        <f aca="false">DEGREES( ACOS( COS(F$112/57.3)  *  COS($B133/57.3)))</f>
        <v>77.0651861755487</v>
      </c>
      <c r="G133" s="210" t="n">
        <f aca="false">DEGREES( ACOS( COS(G$112/57.3)  *  COS($B133/57.3)))</f>
        <v>79.4686777367683</v>
      </c>
      <c r="H133" s="210" t="n">
        <f aca="false">DEGREES( ACOS( COS(H$112/57.3)  *  COS($B133/57.3)))</f>
        <v>82.5737549021133</v>
      </c>
      <c r="I133" s="210" t="n">
        <f aca="false">DEGREES( ACOS( COS(I$112/57.3)  *  COS($B133/57.3)))</f>
        <v>86.1629120872034</v>
      </c>
      <c r="J133" s="214" t="n">
        <f aca="false">DEGREES( ACOS( COS(J$112/57.3)  *  COS($B133/57.3)))</f>
        <v>89.9982866250616</v>
      </c>
      <c r="K133" s="210" t="n">
        <f aca="false">DEGREES( ACOS( COS(K$112/57.3)  *  COS($B133/57.3)))</f>
        <v>93.833770479422</v>
      </c>
      <c r="L133" s="210" t="n">
        <f aca="false">DEGREES( ACOS( COS(L$112/57.3)  *  COS($B133/57.3)))</f>
        <v>97.423252285945</v>
      </c>
      <c r="M133" s="210" t="n">
        <f aca="false">DEGREES( ACOS( COS(M$112/57.3)  *  COS($B133/57.3)))</f>
        <v>100.528857536695</v>
      </c>
      <c r="N133" s="210" t="n">
        <f aca="false">DEGREES( ACOS( COS(N$112/57.3)  *  COS($B133/57.3)))</f>
        <v>102.933055612671</v>
      </c>
      <c r="O133" s="210" t="n">
        <f aca="false">DEGREES( ACOS( COS(O$112/57.3)  *  COS($B133/57.3)))</f>
        <v>104.456444116481</v>
      </c>
      <c r="P133" s="214" t="n">
        <f aca="false">DEGREES( ACOS( COS(P$112/57.3)  *  COS($B133/57.3)))</f>
        <v>104.979007638947</v>
      </c>
      <c r="Q133" s="210" t="n">
        <f aca="false">DEGREES( ACOS( COS(Q$112/57.3)  *  COS($B133/57.3)))</f>
        <v>104.456444116481</v>
      </c>
      <c r="R133" s="210" t="n">
        <f aca="false">DEGREES( ACOS( COS(R$112/57.3)  *  COS($B133/57.3)))</f>
        <v>102.933055612671</v>
      </c>
      <c r="S133" s="210" t="n">
        <f aca="false">DEGREES( ACOS( COS(S$112/57.3)  *  COS($B133/57.3)))</f>
        <v>100.528857536695</v>
      </c>
      <c r="T133" s="210" t="n">
        <f aca="false">DEGREES( ACOS( COS(T$112/57.3)  *  COS($B133/57.3)))</f>
        <v>97.423252285945</v>
      </c>
      <c r="U133" s="210" t="n">
        <f aca="false">DEGREES( ACOS( COS(U$112/57.3)  *  COS($B133/57.3)))</f>
        <v>93.833770479422</v>
      </c>
      <c r="V133" s="214" t="n">
        <f aca="false">DEGREES( ACOS( COS(V$112/57.3)  *  COS($B133/57.3)))</f>
        <v>89.9982866250616</v>
      </c>
      <c r="W133" s="210" t="n">
        <f aca="false">DEGREES( ACOS( COS(W$112/57.3)  *  COS($B133/57.3)))</f>
        <v>86.1629120872034</v>
      </c>
      <c r="X133" s="210" t="n">
        <f aca="false">DEGREES( ACOS( COS(X$112/57.3)  *  COS($B133/57.3)))</f>
        <v>82.5737549021133</v>
      </c>
      <c r="Y133" s="210" t="n">
        <f aca="false">DEGREES( ACOS( COS(Y$112/57.3)  *  COS($B133/57.3)))</f>
        <v>79.4686777367683</v>
      </c>
      <c r="Z133" s="210" t="n">
        <f aca="false">DEGREES( ACOS( COS(Z$112/57.3)  *  COS($B133/57.3)))</f>
        <v>77.0651861755487</v>
      </c>
      <c r="AA133" s="210" t="n">
        <f aca="false">DEGREES( ACOS( COS(AA$112/57.3)  *  COS($B133/57.3)))</f>
        <v>75.5426396441829</v>
      </c>
      <c r="AB133" s="214" t="n">
        <f aca="false">DEGREES( ACOS( COS(AB$112/57.3)  *  COS($B133/57.3)))</f>
        <v>75.0209921840904</v>
      </c>
      <c r="AC133" s="195" t="n">
        <f aca="false">DEGREES( ACOS( COS(AC$112/57.3)  *  COS($B133/57.3)))</f>
        <v>75.0209919506377</v>
      </c>
      <c r="AD133" s="195" t="n">
        <f aca="false">DEGREES( ACOS( COS(AD$112/57.3)  *  COS($B133/57.3)))</f>
        <v>75.0209919506377</v>
      </c>
      <c r="AE133" s="1"/>
      <c r="AF133" s="1"/>
      <c r="AG133" s="1"/>
      <c r="AH133" s="1"/>
      <c r="AI133" s="1"/>
      <c r="AJ133" s="1"/>
      <c r="AK133" s="1"/>
      <c r="AL133" s="1"/>
    </row>
    <row r="134" customFormat="false" ht="12.75" hidden="false" customHeight="true" outlineLevel="0" collapsed="false">
      <c r="A134" s="193" t="n">
        <f aca="false">RADIANS(MOD(B134-180,-360)+180)</f>
        <v>-1.0471975511966</v>
      </c>
      <c r="B134" s="182" t="n">
        <v>300</v>
      </c>
      <c r="C134" s="1"/>
      <c r="D134" s="214" t="n">
        <f aca="false">DEGREES( ACOS( COS(D$112/57.3)  *  COS($B134/57.3)))</f>
        <v>60.022096795178</v>
      </c>
      <c r="E134" s="210" t="n">
        <f aca="false">DEGREES( ACOS( COS(E$112/57.3)  *  COS($B134/57.3)))</f>
        <v>61.141852536882</v>
      </c>
      <c r="F134" s="210" t="n">
        <f aca="false">DEGREES( ACOS( COS(F$112/57.3)  *  COS($B134/57.3)))</f>
        <v>64.3588676650439</v>
      </c>
      <c r="G134" s="210" t="n">
        <f aca="false">DEGREES( ACOS( COS(G$112/57.3)  *  COS($B134/57.3)))</f>
        <v>69.3084038272761</v>
      </c>
      <c r="H134" s="210" t="n">
        <f aca="false">DEGREES( ACOS( COS(H$112/57.3)  *  COS($B134/57.3)))</f>
        <v>75.5303957254235</v>
      </c>
      <c r="I134" s="210" t="n">
        <f aca="false">DEGREES( ACOS( COS(I$112/57.3)  *  COS($B134/57.3)))</f>
        <v>82.5668344093985</v>
      </c>
      <c r="J134" s="214" t="n">
        <f aca="false">DEGREES( ACOS( COS(J$112/57.3)  *  COS($B134/57.3)))</f>
        <v>89.9966876957813</v>
      </c>
      <c r="K134" s="210" t="n">
        <f aca="false">DEGREES( ACOS( COS(K$112/57.3)  *  COS($B134/57.3)))</f>
        <v>97.4267124952101</v>
      </c>
      <c r="L134" s="210" t="n">
        <f aca="false">DEGREES( ACOS( COS(L$112/57.3)  *  COS($B134/57.3)))</f>
        <v>104.463679202877</v>
      </c>
      <c r="M134" s="210" t="n">
        <f aca="false">DEGREES( ACOS( COS(M$112/57.3)  *  COS($B134/57.3)))</f>
        <v>110.686588668813</v>
      </c>
      <c r="N134" s="210" t="n">
        <f aca="false">DEGREES( ACOS( COS(N$112/57.3)  *  COS($B134/57.3)))</f>
        <v>115.637457776421</v>
      </c>
      <c r="O134" s="210" t="n">
        <f aca="false">DEGREES( ACOS( COS(O$112/57.3)  *  COS($B134/57.3)))</f>
        <v>118.856189091673</v>
      </c>
      <c r="P134" s="214" t="n">
        <f aca="false">DEGREES( ACOS( COS(P$112/57.3)  *  COS($B134/57.3)))</f>
        <v>119.977902325023</v>
      </c>
      <c r="Q134" s="210" t="n">
        <f aca="false">DEGREES( ACOS( COS(Q$112/57.3)  *  COS($B134/57.3)))</f>
        <v>118.856189091673</v>
      </c>
      <c r="R134" s="210" t="n">
        <f aca="false">DEGREES( ACOS( COS(R$112/57.3)  *  COS($B134/57.3)))</f>
        <v>115.637457776421</v>
      </c>
      <c r="S134" s="210" t="n">
        <f aca="false">DEGREES( ACOS( COS(S$112/57.3)  *  COS($B134/57.3)))</f>
        <v>110.686588668813</v>
      </c>
      <c r="T134" s="210" t="n">
        <f aca="false">DEGREES( ACOS( COS(T$112/57.3)  *  COS($B134/57.3)))</f>
        <v>104.463679202877</v>
      </c>
      <c r="U134" s="210" t="n">
        <f aca="false">DEGREES( ACOS( COS(U$112/57.3)  *  COS($B134/57.3)))</f>
        <v>97.4267124952101</v>
      </c>
      <c r="V134" s="214" t="n">
        <f aca="false">DEGREES( ACOS( COS(V$112/57.3)  *  COS($B134/57.3)))</f>
        <v>89.9966876957813</v>
      </c>
      <c r="W134" s="210" t="n">
        <f aca="false">DEGREES( ACOS( COS(W$112/57.3)  *  COS($B134/57.3)))</f>
        <v>82.5668344093985</v>
      </c>
      <c r="X134" s="210" t="n">
        <f aca="false">DEGREES( ACOS( COS(X$112/57.3)  *  COS($B134/57.3)))</f>
        <v>75.5303957254235</v>
      </c>
      <c r="Y134" s="210" t="n">
        <f aca="false">DEGREES( ACOS( COS(Y$112/57.3)  *  COS($B134/57.3)))</f>
        <v>69.3084038272761</v>
      </c>
      <c r="Z134" s="210" t="n">
        <f aca="false">DEGREES( ACOS( COS(Z$112/57.3)  *  COS($B134/57.3)))</f>
        <v>64.3588676650439</v>
      </c>
      <c r="AA134" s="210" t="n">
        <f aca="false">DEGREES( ACOS( COS(AA$112/57.3)  *  COS($B134/57.3)))</f>
        <v>61.141852536882</v>
      </c>
      <c r="AB134" s="214" t="n">
        <f aca="false">DEGREES( ACOS( COS(AB$112/57.3)  *  COS($B134/57.3)))</f>
        <v>60.0220972934553</v>
      </c>
      <c r="AC134" s="195" t="n">
        <f aca="false">DEGREES( ACOS( COS(AC$112/57.3)  *  COS($B134/57.3)))</f>
        <v>60.0220967901449</v>
      </c>
      <c r="AD134" s="195" t="n">
        <f aca="false">DEGREES( ACOS( COS(AD$112/57.3)  *  COS($B134/57.3)))</f>
        <v>60.0220967901449</v>
      </c>
      <c r="AE134" s="1"/>
      <c r="AF134" s="1"/>
      <c r="AG134" s="1"/>
      <c r="AH134" s="1"/>
      <c r="AI134" s="1"/>
      <c r="AJ134" s="1"/>
      <c r="AK134" s="1"/>
      <c r="AL134" s="1"/>
    </row>
    <row r="135" customFormat="false" ht="12.75" hidden="false" customHeight="true" outlineLevel="0" collapsed="false">
      <c r="A135" s="193" t="n">
        <f aca="false">RADIANS(MOD(B135-180,-360)+180)</f>
        <v>-0.785398163397448</v>
      </c>
      <c r="B135" s="182" t="n">
        <v>315</v>
      </c>
      <c r="C135" s="1"/>
      <c r="D135" s="214" t="n">
        <f aca="false">DEGREES( ACOS( COS(D$112/57.3)  *  COS($B135/57.3)))</f>
        <v>45.0232016383704</v>
      </c>
      <c r="E135" s="210" t="n">
        <f aca="false">DEGREES( ACOS( COS(E$112/57.3)  *  COS($B135/57.3)))</f>
        <v>46.9419029455877</v>
      </c>
      <c r="F135" s="210" t="n">
        <f aca="false">DEGREES( ACOS( COS(F$112/57.3)  *  COS($B135/57.3)))</f>
        <v>52.2557419210514</v>
      </c>
      <c r="G135" s="210" t="n">
        <f aca="false">DEGREES( ACOS( COS(G$112/57.3)  *  COS($B135/57.3)))</f>
        <v>60.0114847067443</v>
      </c>
      <c r="H135" s="210" t="n">
        <f aca="false">DEGREES( ACOS( COS(H$112/57.3)  *  COS($B135/57.3)))</f>
        <v>69.3010680856572</v>
      </c>
      <c r="I135" s="210" t="n">
        <f aca="false">DEGREES( ACOS( COS(I$112/57.3)  *  COS($B135/57.3)))</f>
        <v>79.4551931119756</v>
      </c>
      <c r="J135" s="214" t="n">
        <f aca="false">DEGREES( ACOS( COS(J$112/57.3)  *  COS($B135/57.3)))</f>
        <v>89.9953144614967</v>
      </c>
      <c r="K135" s="210" t="n">
        <f aca="false">DEGREES( ACOS( COS(K$112/57.3)  *  COS($B135/57.3)))</f>
        <v>100.535599721544</v>
      </c>
      <c r="L135" s="210" t="n">
        <f aca="false">DEGREES( ACOS( COS(L$112/57.3)  *  COS($B135/57.3)))</f>
        <v>110.690256374299</v>
      </c>
      <c r="M135" s="210" t="n">
        <f aca="false">DEGREES( ACOS( COS(M$112/57.3)  *  COS($B135/57.3)))</f>
        <v>119.980864578341</v>
      </c>
      <c r="N135" s="210" t="n">
        <f aca="false">DEGREES( ACOS( COS(N$112/57.3)  *  COS($B135/57.3)))</f>
        <v>127.738332095513</v>
      </c>
      <c r="O135" s="210" t="n">
        <f aca="false">DEGREES( ACOS( COS(O$112/57.3)  *  COS($B135/57.3)))</f>
        <v>133.054776475371</v>
      </c>
      <c r="P135" s="214" t="n">
        <f aca="false">DEGREES( ACOS( COS(P$112/57.3)  *  COS($B135/57.3)))</f>
        <v>134.97679683765</v>
      </c>
      <c r="Q135" s="210" t="n">
        <f aca="false">DEGREES( ACOS( COS(Q$112/57.3)  *  COS($B135/57.3)))</f>
        <v>133.054776475371</v>
      </c>
      <c r="R135" s="210" t="n">
        <f aca="false">DEGREES( ACOS( COS(R$112/57.3)  *  COS($B135/57.3)))</f>
        <v>127.738332095513</v>
      </c>
      <c r="S135" s="210" t="n">
        <f aca="false">DEGREES( ACOS( COS(S$112/57.3)  *  COS($B135/57.3)))</f>
        <v>119.980864578341</v>
      </c>
      <c r="T135" s="210" t="n">
        <f aca="false">DEGREES( ACOS( COS(T$112/57.3)  *  COS($B135/57.3)))</f>
        <v>110.690256374299</v>
      </c>
      <c r="U135" s="210" t="n">
        <f aca="false">DEGREES( ACOS( COS(U$112/57.3)  *  COS($B135/57.3)))</f>
        <v>100.535599721544</v>
      </c>
      <c r="V135" s="214" t="n">
        <f aca="false">DEGREES( ACOS( COS(V$112/57.3)  *  COS($B135/57.3)))</f>
        <v>89.9953144614967</v>
      </c>
      <c r="W135" s="210" t="n">
        <f aca="false">DEGREES( ACOS( COS(W$112/57.3)  *  COS($B135/57.3)))</f>
        <v>79.4551931119756</v>
      </c>
      <c r="X135" s="210" t="n">
        <f aca="false">DEGREES( ACOS( COS(X$112/57.3)  *  COS($B135/57.3)))</f>
        <v>69.3010680856572</v>
      </c>
      <c r="Y135" s="210" t="n">
        <f aca="false">DEGREES( ACOS( COS(Y$112/57.3)  *  COS($B135/57.3)))</f>
        <v>60.0114847067443</v>
      </c>
      <c r="Z135" s="210" t="n">
        <f aca="false">DEGREES( ACOS( COS(Z$112/57.3)  *  COS($B135/57.3)))</f>
        <v>52.2557419210514</v>
      </c>
      <c r="AA135" s="210" t="n">
        <f aca="false">DEGREES( ACOS( COS(AA$112/57.3)  *  COS($B135/57.3)))</f>
        <v>46.9419029455877</v>
      </c>
      <c r="AB135" s="214" t="n">
        <f aca="false">DEGREES( ACOS( COS(AB$112/57.3)  *  COS($B135/57.3)))</f>
        <v>45.0232025014818</v>
      </c>
      <c r="AC135" s="195" t="n">
        <f aca="false">DEGREES( ACOS( COS(AC$112/57.3)  *  COS($B135/57.3)))</f>
        <v>45.0232016296521</v>
      </c>
      <c r="AD135" s="195" t="n">
        <f aca="false">DEGREES( ACOS( COS(AD$112/57.3)  *  COS($B135/57.3)))</f>
        <v>45.0232016296521</v>
      </c>
      <c r="AE135" s="1"/>
      <c r="AF135" s="1"/>
      <c r="AG135" s="1"/>
      <c r="AH135" s="1"/>
      <c r="AI135" s="1"/>
      <c r="AJ135" s="1"/>
      <c r="AK135" s="1"/>
      <c r="AL135" s="1"/>
    </row>
    <row r="136" customFormat="false" ht="12.75" hidden="false" customHeight="true" outlineLevel="0" collapsed="false">
      <c r="A136" s="193" t="n">
        <f aca="false">RADIANS(MOD(B136-180,-360)+180)</f>
        <v>-0.523598775598299</v>
      </c>
      <c r="B136" s="182" t="n">
        <v>330</v>
      </c>
      <c r="C136" s="1"/>
      <c r="D136" s="214" t="n">
        <f aca="false">DEGREES( ACOS( COS(D$112/57.3)  *  COS($B136/57.3)))</f>
        <v>30.0243064842574</v>
      </c>
      <c r="E136" s="210" t="n">
        <f aca="false">DEGREES( ACOS( COS(E$112/57.3)  *  COS($B136/57.3)))</f>
        <v>33.246916412937</v>
      </c>
      <c r="F136" s="210" t="n">
        <f aca="false">DEGREES( ACOS( COS(F$112/57.3)  *  COS($B136/57.3)))</f>
        <v>41.4240920307081</v>
      </c>
      <c r="G136" s="210" t="n">
        <f aca="false">DEGREES( ACOS( COS(G$112/57.3)  *  COS($B136/57.3)))</f>
        <v>52.2470630915989</v>
      </c>
      <c r="H136" s="210" t="n">
        <f aca="false">DEGREES( ACOS( COS(H$112/57.3)  *  COS($B136/57.3)))</f>
        <v>64.3441614201102</v>
      </c>
      <c r="I136" s="210" t="n">
        <f aca="false">DEGREES( ACOS( COS(I$112/57.3)  *  COS($B136/57.3)))</f>
        <v>77.0459486440954</v>
      </c>
      <c r="J136" s="214" t="n">
        <f aca="false">DEGREES( ACOS( COS(J$112/57.3)  *  COS($B136/57.3)))</f>
        <v>89.9942604921488</v>
      </c>
      <c r="K136" s="210" t="n">
        <f aca="false">DEGREES( ACOS( COS(K$112/57.3)  *  COS($B136/57.3)))</f>
        <v>102.942674125265</v>
      </c>
      <c r="L136" s="210" t="n">
        <f aca="false">DEGREES( ACOS( COS(L$112/57.3)  *  COS($B136/57.3)))</f>
        <v>115.644810446153</v>
      </c>
      <c r="M136" s="210" t="n">
        <f aca="false">DEGREES( ACOS( COS(M$112/57.3)  *  COS($B136/57.3)))</f>
        <v>127.742671035711</v>
      </c>
      <c r="N136" s="210" t="n">
        <f aca="false">DEGREES( ACOS( COS(N$112/57.3)  *  COS($B136/57.3)))</f>
        <v>138.567232718319</v>
      </c>
      <c r="O136" s="210" t="n">
        <f aca="false">DEGREES( ACOS( COS(O$112/57.3)  *  COS($B136/57.3)))</f>
        <v>146.747662972178</v>
      </c>
      <c r="P136" s="214" t="n">
        <f aca="false">DEGREES( ACOS( COS(P$112/57.3)  *  COS($B136/57.3)))</f>
        <v>149.97569087658</v>
      </c>
      <c r="Q136" s="210" t="n">
        <f aca="false">DEGREES( ACOS( COS(Q$112/57.3)  *  COS($B136/57.3)))</f>
        <v>146.747662972178</v>
      </c>
      <c r="R136" s="210" t="n">
        <f aca="false">DEGREES( ACOS( COS(R$112/57.3)  *  COS($B136/57.3)))</f>
        <v>138.567232718319</v>
      </c>
      <c r="S136" s="210" t="n">
        <f aca="false">DEGREES( ACOS( COS(S$112/57.3)  *  COS($B136/57.3)))</f>
        <v>127.742671035711</v>
      </c>
      <c r="T136" s="210" t="n">
        <f aca="false">DEGREES( ACOS( COS(T$112/57.3)  *  COS($B136/57.3)))</f>
        <v>115.644810446153</v>
      </c>
      <c r="U136" s="210" t="n">
        <f aca="false">DEGREES( ACOS( COS(U$112/57.3)  *  COS($B136/57.3)))</f>
        <v>102.942674125265</v>
      </c>
      <c r="V136" s="214" t="n">
        <f aca="false">DEGREES( ACOS( COS(V$112/57.3)  *  COS($B136/57.3)))</f>
        <v>89.9942604921488</v>
      </c>
      <c r="W136" s="210" t="n">
        <f aca="false">DEGREES( ACOS( COS(W$112/57.3)  *  COS($B136/57.3)))</f>
        <v>77.0459486440954</v>
      </c>
      <c r="X136" s="210" t="n">
        <f aca="false">DEGREES( ACOS( COS(X$112/57.3)  *  COS($B136/57.3)))</f>
        <v>64.3441614201102</v>
      </c>
      <c r="Y136" s="210" t="n">
        <f aca="false">DEGREES( ACOS( COS(Y$112/57.3)  *  COS($B136/57.3)))</f>
        <v>52.2470630915989</v>
      </c>
      <c r="Z136" s="210" t="n">
        <f aca="false">DEGREES( ACOS( COS(Z$112/57.3)  *  COS($B136/57.3)))</f>
        <v>41.4240920307081</v>
      </c>
      <c r="AA136" s="210" t="n">
        <f aca="false">DEGREES( ACOS( COS(AA$112/57.3)  *  COS($B136/57.3)))</f>
        <v>33.246916412937</v>
      </c>
      <c r="AB136" s="214" t="n">
        <f aca="false">DEGREES( ACOS( COS(AB$112/57.3)  *  COS($B136/57.3)))</f>
        <v>30.0243079789566</v>
      </c>
      <c r="AC136" s="195" t="n">
        <f aca="false">DEGREES( ACOS( COS(AC$112/57.3)  *  COS($B136/57.3)))</f>
        <v>30.0243064691594</v>
      </c>
      <c r="AD136" s="195" t="n">
        <f aca="false">DEGREES( ACOS( COS(AD$112/57.3)  *  COS($B136/57.3)))</f>
        <v>30.0243064691594</v>
      </c>
      <c r="AE136" s="1"/>
      <c r="AF136" s="1"/>
      <c r="AG136" s="1"/>
      <c r="AH136" s="1"/>
      <c r="AI136" s="1"/>
      <c r="AJ136" s="1"/>
      <c r="AK136" s="1"/>
      <c r="AL136" s="1"/>
    </row>
    <row r="137" customFormat="false" ht="12.75" hidden="false" customHeight="true" outlineLevel="0" collapsed="false">
      <c r="A137" s="193" t="n">
        <f aca="false">RADIANS(MOD(B137-180,-360)+180)</f>
        <v>-0.261799387799149</v>
      </c>
      <c r="B137" s="182" t="n">
        <v>345</v>
      </c>
      <c r="C137" s="1"/>
      <c r="D137" s="214" t="n">
        <f aca="false">DEGREES( ACOS( COS(D$112/57.3)  *  COS($B137/57.3)))</f>
        <v>15.0254113411724</v>
      </c>
      <c r="E137" s="210" t="n">
        <f aca="false">DEGREES( ACOS( COS(E$112/57.3)  *  COS($B137/57.3)))</f>
        <v>21.1074762863287</v>
      </c>
      <c r="F137" s="210" t="n">
        <f aca="false">DEGREES( ACOS( COS(F$112/57.3)  *  COS($B137/57.3)))</f>
        <v>33.2343973866465</v>
      </c>
      <c r="G137" s="210" t="n">
        <f aca="false">DEGREES( ACOS( COS(G$112/57.3)  *  COS($B137/57.3)))</f>
        <v>46.9237561772735</v>
      </c>
      <c r="H137" s="210" t="n">
        <f aca="false">DEGREES( ACOS( COS(H$112/57.3)  *  COS($B137/57.3)))</f>
        <v>61.1204432846458</v>
      </c>
      <c r="I137" s="210" t="n">
        <f aca="false">DEGREES( ACOS( COS(I$112/57.3)  *  COS($B137/57.3)))</f>
        <v>75.518924823335</v>
      </c>
      <c r="J137" s="214" t="n">
        <f aca="false">DEGREES( ACOS( COS(J$112/57.3)  *  COS($B137/57.3)))</f>
        <v>89.9935976034881</v>
      </c>
      <c r="K137" s="210" t="n">
        <f aca="false">DEGREES( ACOS( COS(K$112/57.3)  *  COS($B137/57.3)))</f>
        <v>104.468301161708</v>
      </c>
      <c r="L137" s="210" t="n">
        <f aca="false">DEGREES( ACOS( COS(L$112/57.3)  *  COS($B137/57.3)))</f>
        <v>118.866892965104</v>
      </c>
      <c r="M137" s="210" t="n">
        <f aca="false">DEGREES( ACOS( COS(M$112/57.3)  *  COS($B137/57.3)))</f>
        <v>133.06384869685</v>
      </c>
      <c r="N137" s="210" t="n">
        <f aca="false">DEGREES( ACOS( COS(N$112/57.3)  *  COS($B137/57.3)))</f>
        <v>146.75392106048</v>
      </c>
      <c r="O137" s="210" t="n">
        <f aca="false">DEGREES( ACOS( COS(O$112/57.3)  *  COS($B137/57.3)))</f>
        <v>158.883319446985</v>
      </c>
      <c r="P137" s="214" t="n">
        <f aca="false">DEGREES( ACOS( COS(P$112/57.3)  *  COS($B137/57.3)))</f>
        <v>164.974582976733</v>
      </c>
      <c r="Q137" s="210" t="n">
        <f aca="false">DEGREES( ACOS( COS(Q$112/57.3)  *  COS($B137/57.3)))</f>
        <v>158.883319446985</v>
      </c>
      <c r="R137" s="210" t="n">
        <f aca="false">DEGREES( ACOS( COS(R$112/57.3)  *  COS($B137/57.3)))</f>
        <v>146.75392106048</v>
      </c>
      <c r="S137" s="210" t="n">
        <f aca="false">DEGREES( ACOS( COS(S$112/57.3)  *  COS($B137/57.3)))</f>
        <v>133.06384869685</v>
      </c>
      <c r="T137" s="210" t="n">
        <f aca="false">DEGREES( ACOS( COS(T$112/57.3)  *  COS($B137/57.3)))</f>
        <v>118.866892965104</v>
      </c>
      <c r="U137" s="210" t="n">
        <f aca="false">DEGREES( ACOS( COS(U$112/57.3)  *  COS($B137/57.3)))</f>
        <v>104.468301161708</v>
      </c>
      <c r="V137" s="214" t="n">
        <f aca="false">DEGREES( ACOS( COS(V$112/57.3)  *  COS($B137/57.3)))</f>
        <v>89.9935976034881</v>
      </c>
      <c r="W137" s="210" t="n">
        <f aca="false">DEGREES( ACOS( COS(W$112/57.3)  *  COS($B137/57.3)))</f>
        <v>75.518924823335</v>
      </c>
      <c r="X137" s="210" t="n">
        <f aca="false">DEGREES( ACOS( COS(X$112/57.3)  *  COS($B137/57.3)))</f>
        <v>61.1204432846458</v>
      </c>
      <c r="Y137" s="210" t="n">
        <f aca="false">DEGREES( ACOS( COS(Y$112/57.3)  *  COS($B137/57.3)))</f>
        <v>46.9237561772735</v>
      </c>
      <c r="Z137" s="210" t="n">
        <f aca="false">DEGREES( ACOS( COS(Z$112/57.3)  *  COS($B137/57.3)))</f>
        <v>33.2343973866465</v>
      </c>
      <c r="AA137" s="210" t="n">
        <f aca="false">DEGREES( ACOS( COS(AA$112/57.3)  *  COS($B137/57.3)))</f>
        <v>21.1074762863287</v>
      </c>
      <c r="AB137" s="214" t="n">
        <f aca="false">DEGREES( ACOS( COS(AB$112/57.3)  *  COS($B137/57.3)))</f>
        <v>15.0254145592479</v>
      </c>
      <c r="AC137" s="195" t="n">
        <f aca="false">DEGREES( ACOS( COS(AC$112/57.3)  *  COS($B137/57.3)))</f>
        <v>15.0254113086666</v>
      </c>
      <c r="AD137" s="195" t="n">
        <f aca="false">DEGREES( ACOS( COS(AD$112/57.3)  *  COS($B137/57.3)))</f>
        <v>15.0254113086666</v>
      </c>
      <c r="AE137" s="1"/>
      <c r="AF137" s="1"/>
      <c r="AG137" s="1"/>
      <c r="AH137" s="1"/>
      <c r="AI137" s="1"/>
      <c r="AJ137" s="1"/>
      <c r="AK137" s="1"/>
      <c r="AL137" s="1"/>
    </row>
    <row r="138" customFormat="false" ht="12.75" hidden="false" customHeight="true" outlineLevel="0" collapsed="false">
      <c r="A138" s="193" t="n">
        <f aca="false">RADIANS(MOD(B138-180,-360)+180)</f>
        <v>-0.000174532925199274</v>
      </c>
      <c r="B138" s="198" t="n">
        <v>359.99</v>
      </c>
      <c r="C138" s="1"/>
      <c r="D138" s="214" t="n">
        <f aca="false">DEGREES( ACOS( COS(D$112/57.3)  *  COS($B138/57.3)))</f>
        <v>0.036529099882874</v>
      </c>
      <c r="E138" s="214" t="n">
        <f aca="false">DEGREES( ACOS( COS(E$112/57.3)  *  COS($B138/57.3)))</f>
        <v>14.9989385895289</v>
      </c>
      <c r="F138" s="214" t="n">
        <f aca="false">DEGREES( ACOS( COS(F$112/57.3)  *  COS($B138/57.3)))</f>
        <v>29.9978104767342</v>
      </c>
      <c r="G138" s="214" t="n">
        <f aca="false">DEGREES( ACOS( COS(G$112/57.3)  *  COS($B138/57.3)))</f>
        <v>44.9966971187175</v>
      </c>
      <c r="H138" s="214" t="n">
        <f aca="false">DEGREES( ACOS( COS(H$112/57.3)  *  COS($B138/57.3)))</f>
        <v>59.9955873611541</v>
      </c>
      <c r="I138" s="214" t="n">
        <f aca="false">DEGREES( ACOS( COS(I$112/57.3)  *  COS($B138/57.3)))</f>
        <v>74.9944789214946</v>
      </c>
      <c r="J138" s="214" t="n">
        <f aca="false">DEGREES( ACOS( COS(J$112/57.3)  *  COS($B138/57.3)))</f>
        <v>89.9933709643028</v>
      </c>
      <c r="K138" s="214" t="n">
        <f aca="false">DEGREES( ACOS( COS(K$112/57.3)  *  COS($B138/57.3)))</f>
        <v>104.992263007304</v>
      </c>
      <c r="L138" s="214" t="n">
        <f aca="false">DEGREES( ACOS( COS(L$112/57.3)  *  COS($B138/57.3)))</f>
        <v>119.991154568349</v>
      </c>
      <c r="M138" s="214" t="n">
        <f aca="false">DEGREES( ACOS( COS(M$112/57.3)  *  COS($B138/57.3)))</f>
        <v>134.99004481258</v>
      </c>
      <c r="N138" s="214" t="n">
        <f aca="false">DEGREES( ACOS( COS(N$112/57.3)  *  COS($B138/57.3)))</f>
        <v>149.988931459946</v>
      </c>
      <c r="O138" s="214" t="n">
        <f aca="false">DEGREES( ACOS( COS(O$112/57.3)  *  COS($B138/57.3)))</f>
        <v>164.987803376549</v>
      </c>
      <c r="P138" s="214" t="n">
        <f aca="false">DEGREES( ACOS( COS(P$112/57.3)  *  COS($B138/57.3)))</f>
        <v>179.961152197102</v>
      </c>
      <c r="Q138" s="214" t="n">
        <f aca="false">DEGREES( ACOS( COS(Q$112/57.3)  *  COS($B138/57.3)))</f>
        <v>164.987803376549</v>
      </c>
      <c r="R138" s="214" t="n">
        <f aca="false">DEGREES( ACOS( COS(R$112/57.3)  *  COS($B138/57.3)))</f>
        <v>149.988931459946</v>
      </c>
      <c r="S138" s="214" t="n">
        <f aca="false">DEGREES( ACOS( COS(S$112/57.3)  *  COS($B138/57.3)))</f>
        <v>134.99004481258</v>
      </c>
      <c r="T138" s="214" t="n">
        <f aca="false">DEGREES( ACOS( COS(T$112/57.3)  *  COS($B138/57.3)))</f>
        <v>119.991154568349</v>
      </c>
      <c r="U138" s="214" t="n">
        <f aca="false">DEGREES( ACOS( COS(U$112/57.3)  *  COS($B138/57.3)))</f>
        <v>104.992263007304</v>
      </c>
      <c r="V138" s="214" t="n">
        <f aca="false">DEGREES( ACOS( COS(V$112/57.3)  *  COS($B138/57.3)))</f>
        <v>89.9933709643028</v>
      </c>
      <c r="W138" s="214" t="n">
        <f aca="false">DEGREES( ACOS( COS(W$112/57.3)  *  COS($B138/57.3)))</f>
        <v>74.9944789214946</v>
      </c>
      <c r="X138" s="214" t="n">
        <f aca="false">DEGREES( ACOS( COS(X$112/57.3)  *  COS($B138/57.3)))</f>
        <v>59.9955873611541</v>
      </c>
      <c r="Y138" s="214" t="n">
        <f aca="false">DEGREES( ACOS( COS(Y$112/57.3)  *  COS($B138/57.3)))</f>
        <v>44.9966971187175</v>
      </c>
      <c r="Z138" s="214" t="n">
        <f aca="false">DEGREES( ACOS( COS(Z$112/57.3)  *  COS($B138/57.3)))</f>
        <v>29.9978104767342</v>
      </c>
      <c r="AA138" s="214" t="n">
        <f aca="false">DEGREES( ACOS( COS(AA$112/57.3)  *  COS($B138/57.3)))</f>
        <v>14.9989385895289</v>
      </c>
      <c r="AB138" s="214" t="n">
        <f aca="false">DEGREES( ACOS( COS(AB$112/57.3)  *  COS($B138/57.3)))</f>
        <v>0.037859748297634</v>
      </c>
      <c r="AC138" s="195" t="n">
        <f aca="false">DEGREES( ACOS( COS(AC$112/57.3)  *  COS($B138/57.3)))</f>
        <v>0.0365154116142055</v>
      </c>
      <c r="AD138" s="195" t="n">
        <f aca="false">DEGREES( ACOS( COS(AD$112/57.3)  *  COS($B138/57.3)))</f>
        <v>0.0365154116142055</v>
      </c>
      <c r="AE138" s="1"/>
      <c r="AF138" s="1"/>
      <c r="AG138" s="1"/>
      <c r="AH138" s="1"/>
      <c r="AI138" s="1"/>
      <c r="AJ138" s="1"/>
      <c r="AK138" s="1"/>
      <c r="AL138" s="1"/>
    </row>
    <row r="139" customFormat="false" ht="12.75" hidden="false" customHeight="true" outlineLevel="0" collapsed="false">
      <c r="A139" s="192" t="n">
        <f aca="false">RADIANS(MOD(B139-180,-360)+180)</f>
        <v>0</v>
      </c>
      <c r="B139" s="184" t="n">
        <v>360</v>
      </c>
      <c r="C139" s="1"/>
      <c r="D139" s="195" t="n">
        <f aca="false">DEGREES( ACOS( COS(D$112/57.3)  *  COS($B139/57.3)))</f>
        <v>0.0265349951307382</v>
      </c>
      <c r="E139" s="195" t="n">
        <f aca="false">DEGREES( ACOS( COS(E$112/57.3)  *  COS($B139/57.3)))</f>
        <v>14.9989180612035</v>
      </c>
      <c r="F139" s="195" t="n">
        <f aca="false">DEGREES( ACOS( COS(F$112/57.3)  *  COS($B139/57.3)))</f>
        <v>29.9978009493754</v>
      </c>
      <c r="G139" s="195" t="n">
        <f aca="false">DEGREES( ACOS( COS(G$112/57.3)  *  COS($B139/57.3)))</f>
        <v>44.9966916179461</v>
      </c>
      <c r="H139" s="195" t="n">
        <f aca="false">DEGREES( ACOS( COS(H$112/57.3)  *  COS($B139/57.3)))</f>
        <v>59.9955841850837</v>
      </c>
      <c r="I139" s="195" t="n">
        <f aca="false">DEGREES( ACOS( COS(I$112/57.3)  *  COS($B139/57.3)))</f>
        <v>74.9944774471693</v>
      </c>
      <c r="J139" s="195" t="n">
        <f aca="false">DEGREES( ACOS( COS(J$112/57.3)  *  COS($B139/57.3)))</f>
        <v>89.9933709636664</v>
      </c>
      <c r="K139" s="195" t="n">
        <f aca="false">DEGREES( ACOS( COS(K$112/57.3)  *  COS($B139/57.3)))</f>
        <v>104.992264480265</v>
      </c>
      <c r="L139" s="195" t="n">
        <f aca="false">DEGREES( ACOS( COS(L$112/57.3)  *  COS($B139/57.3)))</f>
        <v>119.991157742722</v>
      </c>
      <c r="M139" s="195" t="n">
        <f aca="false">DEGREES( ACOS( COS(M$112/57.3)  *  COS($B139/57.3)))</f>
        <v>134.990050310806</v>
      </c>
      <c r="N139" s="195" t="n">
        <f aca="false">DEGREES( ACOS( COS(N$112/57.3)  *  COS($B139/57.3)))</f>
        <v>149.988940982215</v>
      </c>
      <c r="O139" s="195" t="n">
        <f aca="false">DEGREES( ACOS( COS(O$112/57.3)  *  COS($B139/57.3)))</f>
        <v>164.987823885889</v>
      </c>
      <c r="P139" s="195" t="n">
        <f aca="false">DEGREES( ACOS( COS(P$112/57.3)  *  COS($B139/57.3)))</f>
        <v>179.97035404531</v>
      </c>
      <c r="Q139" s="195" t="n">
        <f aca="false">DEGREES( ACOS( COS(Q$112/57.3)  *  COS($B139/57.3)))</f>
        <v>164.987823885889</v>
      </c>
      <c r="R139" s="195" t="n">
        <f aca="false">DEGREES( ACOS( COS(R$112/57.3)  *  COS($B139/57.3)))</f>
        <v>149.988940982215</v>
      </c>
      <c r="S139" s="195" t="n">
        <f aca="false">DEGREES( ACOS( COS(S$112/57.3)  *  COS($B139/57.3)))</f>
        <v>134.990050310806</v>
      </c>
      <c r="T139" s="195" t="n">
        <f aca="false">DEGREES( ACOS( COS(T$112/57.3)  *  COS($B139/57.3)))</f>
        <v>119.991157742722</v>
      </c>
      <c r="U139" s="195" t="n">
        <f aca="false">DEGREES( ACOS( COS(U$112/57.3)  *  COS($B139/57.3)))</f>
        <v>104.992264480265</v>
      </c>
      <c r="V139" s="195" t="n">
        <f aca="false">DEGREES( ACOS( COS(V$112/57.3)  *  COS($B139/57.3)))</f>
        <v>89.9933709636664</v>
      </c>
      <c r="W139" s="195" t="n">
        <f aca="false">DEGREES( ACOS( COS(W$112/57.3)  *  COS($B139/57.3)))</f>
        <v>74.9944774471693</v>
      </c>
      <c r="X139" s="195" t="n">
        <f aca="false">DEGREES( ACOS( COS(X$112/57.3)  *  COS($B139/57.3)))</f>
        <v>59.9955841850837</v>
      </c>
      <c r="Y139" s="195" t="n">
        <f aca="false">DEGREES( ACOS( COS(Y$112/57.3)  *  COS($B139/57.3)))</f>
        <v>44.9966916179461</v>
      </c>
      <c r="Z139" s="195" t="n">
        <f aca="false">DEGREES( ACOS( COS(Z$112/57.3)  *  COS($B139/57.3)))</f>
        <v>29.9978009493754</v>
      </c>
      <c r="AA139" s="195" t="n">
        <f aca="false">DEGREES( ACOS( COS(AA$112/57.3)  *  COS($B139/57.3)))</f>
        <v>14.9989180612035</v>
      </c>
      <c r="AB139" s="195" t="n">
        <f aca="false">DEGREES( ACOS( COS(AB$112/57.3)  *  COS($B139/57.3)))</f>
        <v>0.0283388668757983</v>
      </c>
      <c r="AC139" s="195" t="n">
        <f aca="false">DEGREES( ACOS( COS(AC$112/57.3)  *  COS($B139/57.3)))</f>
        <v>0.0265161481690339</v>
      </c>
      <c r="AD139" s="195" t="n">
        <f aca="false">DEGREES( ACOS( COS(AD$112/57.3)  *  COS($B139/57.3)))</f>
        <v>0.0265161481690339</v>
      </c>
      <c r="AE139" s="1"/>
      <c r="AF139" s="1"/>
      <c r="AG139" s="1"/>
      <c r="AH139" s="1"/>
      <c r="AI139" s="1"/>
      <c r="AJ139" s="1"/>
      <c r="AK139" s="1"/>
      <c r="AL139" s="1"/>
    </row>
    <row r="140" customFormat="false" ht="12.75" hidden="false" customHeight="true" outlineLevel="0" collapsed="false">
      <c r="A140" s="192" t="n">
        <f aca="false">RADIANS(MOD(B140-180,-360)+180)</f>
        <v>0</v>
      </c>
      <c r="B140" s="184" t="n">
        <v>0</v>
      </c>
      <c r="C140" s="1"/>
      <c r="D140" s="195" t="n">
        <f aca="false">DEGREES( ACOS( COS(D$112/57.3)  *  COS($B140/57.3)))</f>
        <v>0.000999926412518995</v>
      </c>
      <c r="E140" s="195" t="n">
        <f aca="false">DEGREES( ACOS( COS(E$112/57.3)  *  COS($B140/57.3)))</f>
        <v>14.9988951604928</v>
      </c>
      <c r="F140" s="195" t="n">
        <f aca="false">DEGREES( ACOS( COS(F$112/57.3)  *  COS($B140/57.3)))</f>
        <v>29.9977903209855</v>
      </c>
      <c r="G140" s="195" t="n">
        <f aca="false">DEGREES( ACOS( COS(G$112/57.3)  *  COS($B140/57.3)))</f>
        <v>44.9966854814783</v>
      </c>
      <c r="H140" s="195" t="n">
        <f aca="false">DEGREES( ACOS( COS(H$112/57.3)  *  COS($B140/57.3)))</f>
        <v>59.995580641971</v>
      </c>
      <c r="I140" s="195" t="n">
        <f aca="false">DEGREES( ACOS( COS(I$112/57.3)  *  COS($B140/57.3)))</f>
        <v>74.9944758024638</v>
      </c>
      <c r="J140" s="195" t="n">
        <f aca="false">DEGREES( ACOS( COS(J$112/57.3)  *  COS($B140/57.3)))</f>
        <v>89.9933709629565</v>
      </c>
      <c r="K140" s="195" t="n">
        <f aca="false">DEGREES( ACOS( COS(K$112/57.3)  *  COS($B140/57.3)))</f>
        <v>104.992266123449</v>
      </c>
      <c r="L140" s="195" t="n">
        <f aca="false">DEGREES( ACOS( COS(L$112/57.3)  *  COS($B140/57.3)))</f>
        <v>119.991161283942</v>
      </c>
      <c r="M140" s="195" t="n">
        <f aca="false">DEGREES( ACOS( COS(M$112/57.3)  *  COS($B140/57.3)))</f>
        <v>134.990056444435</v>
      </c>
      <c r="N140" s="195" t="n">
        <f aca="false">DEGREES( ACOS( COS(N$112/57.3)  *  COS($B140/57.3)))</f>
        <v>149.988951604928</v>
      </c>
      <c r="O140" s="195" t="n">
        <f aca="false">DEGREES( ACOS( COS(O$112/57.3)  *  COS($B140/57.3)))</f>
        <v>164.98784676542</v>
      </c>
      <c r="P140" s="195" t="n">
        <f aca="false">DEGREES( ACOS( COS(P$112/57.3)  *  COS($B140/57.3)))</f>
        <v>179.986741925915</v>
      </c>
      <c r="Q140" s="195" t="n">
        <f aca="false">DEGREES( ACOS( COS(Q$112/57.3)  *  COS($B140/57.3)))</f>
        <v>164.98784676542</v>
      </c>
      <c r="R140" s="195" t="n">
        <f aca="false">DEGREES( ACOS( COS(R$112/57.3)  *  COS($B140/57.3)))</f>
        <v>149.988951604928</v>
      </c>
      <c r="S140" s="195" t="n">
        <f aca="false">DEGREES( ACOS( COS(S$112/57.3)  *  COS($B140/57.3)))</f>
        <v>134.990056444435</v>
      </c>
      <c r="T140" s="195" t="n">
        <f aca="false">DEGREES( ACOS( COS(T$112/57.3)  *  COS($B140/57.3)))</f>
        <v>119.991161283942</v>
      </c>
      <c r="U140" s="195" t="n">
        <f aca="false">DEGREES( ACOS( COS(U$112/57.3)  *  COS($B140/57.3)))</f>
        <v>104.992266123449</v>
      </c>
      <c r="V140" s="195" t="n">
        <f aca="false">DEGREES( ACOS( COS(V$112/57.3)  *  COS($B140/57.3)))</f>
        <v>89.9933709629565</v>
      </c>
      <c r="W140" s="195" t="n">
        <f aca="false">DEGREES( ACOS( COS(W$112/57.3)  *  COS($B140/57.3)))</f>
        <v>74.9944758024638</v>
      </c>
      <c r="X140" s="195" t="n">
        <f aca="false">DEGREES( ACOS( COS(X$112/57.3)  *  COS($B140/57.3)))</f>
        <v>59.995580641971</v>
      </c>
      <c r="Y140" s="195" t="n">
        <f aca="false">DEGREES( ACOS( COS(Y$112/57.3)  *  COS($B140/57.3)))</f>
        <v>44.9966854814783</v>
      </c>
      <c r="Z140" s="195" t="n">
        <f aca="false">DEGREES( ACOS( COS(Z$112/57.3)  *  COS($B140/57.3)))</f>
        <v>29.9977903209855</v>
      </c>
      <c r="AA140" s="195" t="n">
        <f aca="false">DEGREES( ACOS( COS(AA$112/57.3)  *  COS($B140/57.3)))</f>
        <v>14.9988951604928</v>
      </c>
      <c r="AB140" s="195" t="n">
        <f aca="false">DEGREES( ACOS( COS(AB$112/57.3)  *  COS($B140/57.3)))</f>
        <v>0.00999926344521869</v>
      </c>
      <c r="AC140" s="195" t="n">
        <f aca="false">DEGREES( ACOS( COS(AC$112/57.3)  *  COS($B140/57.3)))</f>
        <v>0</v>
      </c>
      <c r="AD140" s="195" t="n">
        <f aca="false">DEGREES( ACOS( COS(AD$112/57.3)  *  COS($B140/57.3)))</f>
        <v>0</v>
      </c>
      <c r="AE140" s="1"/>
      <c r="AF140" s="1"/>
      <c r="AG140" s="1"/>
      <c r="AH140" s="1"/>
      <c r="AI140" s="1"/>
      <c r="AJ140" s="1"/>
      <c r="AK140" s="1"/>
      <c r="AL140" s="1"/>
    </row>
    <row r="141" customFormat="false" ht="12.75" hidden="false" customHeight="tru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customFormat="false" ht="12.75" hidden="false" customHeight="tru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customFormat="false" ht="12.75" hidden="false" customHeight="tru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customFormat="false" ht="12.75" hidden="false" customHeight="tru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customFormat="false" ht="12.75" hidden="false" customHeight="true" outlineLevel="0" collapsed="false">
      <c r="A145" s="163"/>
      <c r="B145" s="1"/>
      <c r="C145" s="163"/>
      <c r="D145" s="1"/>
      <c r="E145" s="1"/>
      <c r="F145" s="1"/>
      <c r="G145" s="1"/>
      <c r="H145" s="53"/>
      <c r="I145" s="5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customFormat="false" ht="12.75" hidden="false" customHeight="true" outlineLevel="0" collapsed="false">
      <c r="A146" s="163"/>
      <c r="B146" s="1"/>
      <c r="C146" s="163"/>
      <c r="D146" s="1"/>
      <c r="E146" s="1"/>
      <c r="F146" s="1"/>
      <c r="G146" s="1"/>
      <c r="H146" s="53"/>
      <c r="I146" s="5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customFormat="false" ht="12.75" hidden="false" customHeight="true" outlineLevel="0" collapsed="false">
      <c r="A147" s="163"/>
      <c r="B147" s="1"/>
      <c r="C147" s="163"/>
      <c r="D147" s="1"/>
      <c r="E147" s="1"/>
      <c r="F147" s="1"/>
      <c r="G147" s="1"/>
      <c r="H147" s="53"/>
      <c r="I147" s="5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customFormat="false" ht="12.75" hidden="false" customHeight="true" outlineLevel="0" collapsed="false">
      <c r="A148" s="163"/>
      <c r="B148" s="1"/>
      <c r="C148" s="163"/>
      <c r="D148" s="1"/>
      <c r="E148" s="1"/>
      <c r="F148" s="1"/>
      <c r="G148" s="1"/>
      <c r="H148" s="53"/>
      <c r="I148" s="5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customFormat="false" ht="12.75" hidden="false" customHeight="true" outlineLevel="0" collapsed="false">
      <c r="A149" s="163"/>
      <c r="B149" s="1"/>
      <c r="C149" s="163"/>
      <c r="D149" s="1"/>
      <c r="E149" s="1"/>
      <c r="F149" s="1"/>
      <c r="G149" s="1"/>
      <c r="H149" s="53"/>
      <c r="I149" s="5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customFormat="false" ht="12.75" hidden="false" customHeight="true" outlineLevel="0" collapsed="false">
      <c r="A150" s="163"/>
      <c r="B150" s="1"/>
      <c r="C150" s="163"/>
      <c r="D150" s="1"/>
      <c r="E150" s="1"/>
      <c r="F150" s="1"/>
      <c r="G150" s="1"/>
      <c r="H150" s="53"/>
      <c r="I150" s="5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customFormat="false" ht="12.75" hidden="false" customHeight="true" outlineLevel="0" collapsed="false">
      <c r="A151" s="163"/>
      <c r="B151" s="1"/>
      <c r="C151" s="163"/>
      <c r="D151" s="1"/>
      <c r="E151" s="1"/>
      <c r="F151" s="1"/>
      <c r="G151" s="1"/>
      <c r="H151" s="53"/>
      <c r="I151" s="5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customFormat="false" ht="12.75" hidden="false" customHeight="true" outlineLevel="0" collapsed="false">
      <c r="A152" s="72"/>
      <c r="B152" s="1"/>
      <c r="C152" s="1"/>
      <c r="D152" s="1"/>
      <c r="E152" s="1"/>
      <c r="F152" s="1"/>
      <c r="G152" s="1"/>
      <c r="H152" s="1"/>
      <c r="I152" s="53"/>
      <c r="J152" s="1"/>
      <c r="K152" s="1"/>
      <c r="L152" s="1"/>
      <c r="M152" s="1"/>
      <c r="N152" s="53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customFormat="false" ht="12.75" hidden="false" customHeight="true" outlineLevel="0" collapsed="false">
      <c r="A153" s="1"/>
      <c r="B153" s="1"/>
      <c r="C153" s="1"/>
      <c r="D153" s="1"/>
      <c r="E153" s="1"/>
      <c r="F153" s="1"/>
      <c r="G153" s="164"/>
      <c r="H153" s="36"/>
      <c r="I153" s="5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customFormat="false" ht="23.8" hidden="false" customHeight="true" outlineLevel="0" collapsed="false">
      <c r="A154" s="1"/>
      <c r="B154" s="1"/>
      <c r="C154" s="166" t="s">
        <v>184</v>
      </c>
      <c r="D154" s="168"/>
      <c r="E154" s="167"/>
      <c r="F154" s="169"/>
      <c r="G154" s="113"/>
      <c r="H154" s="1"/>
      <c r="I154" s="53"/>
      <c r="J154" s="215" t="s">
        <v>185</v>
      </c>
      <c r="K154" s="16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customFormat="false" ht="23.8" hidden="false" customHeight="true" outlineLevel="0" collapsed="false">
      <c r="A155" s="1"/>
      <c r="B155" s="1"/>
      <c r="C155" s="170"/>
      <c r="D155" s="170"/>
      <c r="E155" s="170"/>
      <c r="F155" s="171"/>
      <c r="G155" s="171"/>
      <c r="H155" s="171"/>
      <c r="I155" s="171"/>
      <c r="J155" s="216"/>
      <c r="K155" s="216"/>
      <c r="L155" s="170"/>
      <c r="M155" s="1"/>
      <c r="N155" s="1"/>
      <c r="O155" s="1"/>
      <c r="P155" s="1"/>
      <c r="Q155" s="1"/>
      <c r="R155" s="1"/>
      <c r="S155" s="1"/>
      <c r="T155" s="200" t="s">
        <v>176</v>
      </c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customFormat="false" ht="23.8" hidden="false" customHeight="true" outlineLevel="0" collapsed="false">
      <c r="A156" s="172" t="s">
        <v>163</v>
      </c>
      <c r="B156" s="1"/>
      <c r="C156" s="173"/>
      <c r="D156" s="170"/>
      <c r="E156" s="174" t="s">
        <v>164</v>
      </c>
      <c r="F156" s="171"/>
      <c r="G156" s="171"/>
      <c r="H156" s="175" t="s">
        <v>165</v>
      </c>
      <c r="I156" s="171"/>
      <c r="J156" s="171"/>
      <c r="K156" s="170"/>
      <c r="L156" s="170"/>
      <c r="M156" s="1"/>
      <c r="N156" s="1"/>
      <c r="O156" s="1"/>
      <c r="P156" s="1"/>
      <c r="Q156" s="1"/>
      <c r="R156" s="1"/>
      <c r="S156" s="1"/>
      <c r="T156" s="202" t="s">
        <v>178</v>
      </c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customFormat="false" ht="23.8" hidden="false" customHeight="true" outlineLevel="0" collapsed="false">
      <c r="A157" s="172" t="s">
        <v>166</v>
      </c>
      <c r="B157" s="1"/>
      <c r="C157" s="173"/>
      <c r="D157" s="173"/>
      <c r="E157" s="170"/>
      <c r="F157" s="171"/>
      <c r="G157" s="176"/>
      <c r="H157" s="170"/>
      <c r="I157" s="170"/>
      <c r="J157" s="170"/>
      <c r="K157" s="170"/>
      <c r="L157" s="170"/>
      <c r="M157" s="1"/>
      <c r="N157" s="1"/>
      <c r="O157" s="1"/>
      <c r="P157" s="1"/>
      <c r="Q157" s="1"/>
      <c r="R157" s="1"/>
      <c r="S157" s="1"/>
      <c r="T157" s="203" t="s">
        <v>186</v>
      </c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customFormat="false" ht="23.8" hidden="false" customHeight="true" outlineLevel="0" collapsed="false">
      <c r="A158" s="1"/>
      <c r="B158" s="1"/>
      <c r="C158" s="170"/>
      <c r="D158" s="177"/>
      <c r="E158" s="204"/>
      <c r="F158" s="204" t="s">
        <v>187</v>
      </c>
      <c r="G158" s="170"/>
      <c r="H158" s="170"/>
      <c r="I158" s="170"/>
      <c r="J158" s="170"/>
      <c r="K158" s="170"/>
      <c r="L158" s="170"/>
      <c r="M158" s="1"/>
      <c r="N158" s="179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customFormat="false" ht="23.8" hidden="false" customHeight="true" outlineLevel="0" collapsed="false">
      <c r="A159" s="1"/>
      <c r="B159" s="1"/>
      <c r="C159" s="170"/>
      <c r="D159" s="170"/>
      <c r="E159" s="204"/>
      <c r="F159" s="170"/>
      <c r="G159" s="170"/>
      <c r="H159" s="170"/>
      <c r="I159" s="170"/>
      <c r="J159" s="170"/>
      <c r="K159" s="170"/>
      <c r="L159" s="170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customFormat="false" ht="23.8" hidden="false" customHeight="true" outlineLevel="0" collapsed="false">
      <c r="A160" s="1"/>
      <c r="B160" s="1"/>
      <c r="C160" s="216"/>
      <c r="D160" s="217"/>
      <c r="E160" s="170"/>
      <c r="F160" s="170"/>
      <c r="G160" s="216"/>
      <c r="H160" s="170"/>
      <c r="I160" s="170"/>
      <c r="J160" s="170"/>
      <c r="K160" s="170"/>
      <c r="L160" s="170"/>
      <c r="M160" s="1"/>
      <c r="N160" s="18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customFormat="false" ht="19.3" hidden="false" customHeight="true" outlineLevel="0" collapsed="false">
      <c r="A161" s="1"/>
      <c r="B161" s="1"/>
      <c r="C161" s="1"/>
      <c r="D161" s="1"/>
      <c r="E161" s="1"/>
      <c r="F161" s="218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84" t="n">
        <v>360</v>
      </c>
      <c r="AD161" s="185" t="s">
        <v>169</v>
      </c>
      <c r="AE161" s="1"/>
      <c r="AF161" s="1"/>
      <c r="AG161" s="1"/>
      <c r="AH161" s="1"/>
      <c r="AI161" s="1"/>
      <c r="AJ161" s="1"/>
      <c r="AK161" s="1"/>
      <c r="AL161" s="1"/>
    </row>
    <row r="162" customFormat="false" ht="19.3" hidden="false" customHeight="true" outlineLevel="0" collapsed="false">
      <c r="A162" s="1"/>
      <c r="B162" s="186"/>
      <c r="C162" s="187" t="s">
        <v>171</v>
      </c>
      <c r="D162" s="219" t="s">
        <v>188</v>
      </c>
      <c r="E162" s="219" t="s">
        <v>189</v>
      </c>
      <c r="F162" s="219" t="s">
        <v>190</v>
      </c>
      <c r="G162" s="219" t="s">
        <v>191</v>
      </c>
      <c r="H162" s="219" t="s">
        <v>192</v>
      </c>
      <c r="I162" s="219" t="s">
        <v>193</v>
      </c>
      <c r="J162" s="219" t="s">
        <v>194</v>
      </c>
      <c r="K162" s="219" t="s">
        <v>195</v>
      </c>
      <c r="L162" s="219" t="s">
        <v>196</v>
      </c>
      <c r="M162" s="219" t="s">
        <v>197</v>
      </c>
      <c r="N162" s="219" t="s">
        <v>198</v>
      </c>
      <c r="O162" s="219" t="s">
        <v>199</v>
      </c>
      <c r="P162" s="219" t="s">
        <v>200</v>
      </c>
      <c r="Q162" s="219" t="s">
        <v>201</v>
      </c>
      <c r="R162" s="219" t="s">
        <v>202</v>
      </c>
      <c r="S162" s="219" t="s">
        <v>203</v>
      </c>
      <c r="T162" s="219" t="s">
        <v>204</v>
      </c>
      <c r="U162" s="219" t="s">
        <v>205</v>
      </c>
      <c r="V162" s="219" t="s">
        <v>206</v>
      </c>
      <c r="W162" s="219" t="s">
        <v>207</v>
      </c>
      <c r="X162" s="219" t="s">
        <v>208</v>
      </c>
      <c r="Y162" s="219" t="s">
        <v>209</v>
      </c>
      <c r="Z162" s="219" t="s">
        <v>210</v>
      </c>
      <c r="AA162" s="219" t="s">
        <v>211</v>
      </c>
      <c r="AB162" s="219" t="s">
        <v>212</v>
      </c>
      <c r="AC162" s="184" t="n">
        <v>0</v>
      </c>
      <c r="AD162" s="184" t="n">
        <v>0</v>
      </c>
      <c r="AE162" s="1"/>
      <c r="AF162" s="1"/>
      <c r="AG162" s="1"/>
      <c r="AH162" s="1"/>
      <c r="AI162" s="1"/>
      <c r="AJ162" s="1"/>
      <c r="AK162" s="1"/>
      <c r="AL162" s="1"/>
    </row>
    <row r="163" customFormat="false" ht="19.3" hidden="false" customHeight="true" outlineLevel="0" collapsed="false">
      <c r="A163" s="190"/>
      <c r="B163" s="191" t="s">
        <v>173</v>
      </c>
      <c r="C163" s="1"/>
      <c r="D163" s="220" t="n">
        <v>0.001</v>
      </c>
      <c r="E163" s="207" t="n">
        <v>15</v>
      </c>
      <c r="F163" s="207" t="n">
        <v>30</v>
      </c>
      <c r="G163" s="207" t="n">
        <v>45</v>
      </c>
      <c r="H163" s="207" t="n">
        <v>60</v>
      </c>
      <c r="I163" s="207" t="n">
        <v>75</v>
      </c>
      <c r="J163" s="207" t="n">
        <v>90</v>
      </c>
      <c r="K163" s="207" t="n">
        <v>105</v>
      </c>
      <c r="L163" s="207" t="n">
        <v>120</v>
      </c>
      <c r="M163" s="207" t="n">
        <v>135</v>
      </c>
      <c r="N163" s="207" t="n">
        <v>150</v>
      </c>
      <c r="O163" s="207" t="n">
        <v>165</v>
      </c>
      <c r="P163" s="207" t="n">
        <v>180</v>
      </c>
      <c r="Q163" s="207" t="n">
        <v>-165</v>
      </c>
      <c r="R163" s="207" t="n">
        <v>-150</v>
      </c>
      <c r="S163" s="207" t="n">
        <v>-135</v>
      </c>
      <c r="T163" s="207" t="n">
        <v>-120</v>
      </c>
      <c r="U163" s="207" t="n">
        <v>-105</v>
      </c>
      <c r="V163" s="207" t="n">
        <v>-90</v>
      </c>
      <c r="W163" s="207" t="n">
        <v>-75</v>
      </c>
      <c r="X163" s="207" t="n">
        <v>-60</v>
      </c>
      <c r="Y163" s="207" t="n">
        <v>-45</v>
      </c>
      <c r="Z163" s="207" t="n">
        <v>-30</v>
      </c>
      <c r="AA163" s="207" t="n">
        <v>-15</v>
      </c>
      <c r="AB163" s="221" t="n">
        <v>-0.01</v>
      </c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customFormat="false" ht="12.75" hidden="false" customHeight="true" outlineLevel="0" collapsed="false">
      <c r="A164" s="1"/>
      <c r="B164" s="222" t="s">
        <v>213</v>
      </c>
      <c r="C164" s="1"/>
      <c r="D164" s="214" t="n">
        <f aca="false">DEGREES( ACOS( COS(0.001/12*PI())  *  COS(0.001/12*PI())))</f>
        <v>0.0212132032954528</v>
      </c>
      <c r="E164" s="214" t="n">
        <f aca="false">DEGREES( ACOS( COS(1/12*PI())  *  COS(0.001/12*PI())))</f>
        <v>15.0000073278628</v>
      </c>
      <c r="F164" s="214" t="n">
        <f aca="false">DEGREES( ACOS( COS(2/12*PI())  *  COS(0.001/12*PI())))</f>
        <v>30.0000034008736</v>
      </c>
      <c r="G164" s="214" t="n">
        <f aca="false">DEGREES( ACOS( COS(3/12*PI())  *  COS(0.001/12*PI())))</f>
        <v>45.0000019634954</v>
      </c>
      <c r="H164" s="214" t="n">
        <f aca="false">DEGREES( ACOS( COS(4/12*PI())  *  COS(0.001/12*PI())))</f>
        <v>60.0000011336246</v>
      </c>
      <c r="I164" s="214" t="n">
        <f aca="false">DEGREES( ACOS( COS(5/12*PI())  *  COS(0.001/12*PI())))</f>
        <v>75.000000526117</v>
      </c>
      <c r="J164" s="214" t="n">
        <f aca="false">DEGREES( ACOS( COS(6/12*PI())  *  COS(0.001/12*PI())))</f>
        <v>90</v>
      </c>
      <c r="K164" s="214" t="n">
        <f aca="false">DEGREES( ACOS( COS(7/12*PI())  *  COS(0.001/12*PI())))</f>
        <v>104.999999473883</v>
      </c>
      <c r="L164" s="214" t="n">
        <f aca="false">DEGREES( ACOS( COS(8/12*PI())  *  COS(0.001/12*PI())))</f>
        <v>119.999998866375</v>
      </c>
      <c r="M164" s="214" t="n">
        <f aca="false">DEGREES( ACOS( COS(9/12*PI())  *  COS(0.001/12*PI())))</f>
        <v>134.999998036505</v>
      </c>
      <c r="N164" s="214" t="n">
        <f aca="false">DEGREES( ACOS( COS(10/12*PI())  *  COS(0.001/12*PI())))</f>
        <v>149.999996599126</v>
      </c>
      <c r="O164" s="214" t="n">
        <f aca="false">DEGREES( ACOS( COS(11/12*PI())  *  COS(0.001/12*PI())))</f>
        <v>164.999992672137</v>
      </c>
      <c r="P164" s="214" t="n">
        <f aca="false">DEGREES( ACOS( COS(12/12*PI())  *  COS(0.001/12*PI())))</f>
        <v>179.985000000008</v>
      </c>
      <c r="Q164" s="214" t="n">
        <f aca="false">DEGREES( ACOS( COS(13/12*PI())  *  COS(0.001/12*PI())))</f>
        <v>164.999992672137</v>
      </c>
      <c r="R164" s="214" t="n">
        <f aca="false">DEGREES( ACOS( COS(14/12*PI())  *  COS(0.001/12*PI())))</f>
        <v>149.999996599126</v>
      </c>
      <c r="S164" s="214" t="n">
        <f aca="false">DEGREES( ACOS( COS(15/12*PI())  *  COS(0.001/12*PI())))</f>
        <v>134.999998036505</v>
      </c>
      <c r="T164" s="214" t="n">
        <f aca="false">DEGREES( ACOS( COS(16/12*PI())  *  COS(0.001/12*PI())))</f>
        <v>119.999998866375</v>
      </c>
      <c r="U164" s="214" t="n">
        <f aca="false">DEGREES( ACOS( COS(17/12*PI())  *  COS(0.001/12*PI())))</f>
        <v>104.999999473883</v>
      </c>
      <c r="V164" s="214" t="n">
        <f aca="false">DEGREES( ACOS( COS(18/12*PI())  *  COS(0.001/12*PI())))</f>
        <v>90</v>
      </c>
      <c r="W164" s="214" t="n">
        <f aca="false">DEGREES( ACOS( COS(19/12*PI())  *  COS(0.001/12*PI())))</f>
        <v>75.0000005261171</v>
      </c>
      <c r="X164" s="214" t="n">
        <f aca="false">DEGREES( ACOS( COS(20/12*PI())  *  COS(0.001/12*PI())))</f>
        <v>60.0000011336246</v>
      </c>
      <c r="Y164" s="214" t="n">
        <f aca="false">DEGREES( ACOS( COS(21/12*PI())  *  COS(0.001/12*PI())))</f>
        <v>45.0000019634954</v>
      </c>
      <c r="Z164" s="214" t="n">
        <f aca="false">DEGREES( ACOS( COS(22/12*PI())  *  COS(0.001/12*PI())))</f>
        <v>30.0000034008737</v>
      </c>
      <c r="AA164" s="214" t="n">
        <f aca="false">DEGREES( ACOS( COS(23/12*PI())  *  COS(0.001/12*PI())))</f>
        <v>15.0000073278628</v>
      </c>
      <c r="AB164" s="214" t="n">
        <f aca="false">DEGREES( ACOS( COS(23.999/12*PI())  *  COS(0.001/12*PI())))</f>
        <v>0.0212132032954528</v>
      </c>
      <c r="AC164" s="195" t="n">
        <f aca="false">DEGREES( ACOS( COS(AC$191)  *  COS($AH164)))</f>
        <v>0.0010000000370999</v>
      </c>
      <c r="AD164" s="195" t="n">
        <f aca="false">DEGREES( ACOS( COS(AD$191)  *  COS($AH164)))</f>
        <v>0.0010000000370999</v>
      </c>
      <c r="AE164" s="1"/>
      <c r="AF164" s="1"/>
      <c r="AG164" s="188" t="n">
        <v>0.001</v>
      </c>
      <c r="AH164" s="192" t="n">
        <f aca="false">RADIANS(MOD(AG164-180,-360)+180)</f>
        <v>1.74532925200266E-005</v>
      </c>
      <c r="AI164" s="1"/>
      <c r="AJ164" s="1"/>
      <c r="AK164" s="1"/>
      <c r="AL164" s="1"/>
    </row>
    <row r="165" customFormat="false" ht="12.75" hidden="false" customHeight="true" outlineLevel="0" collapsed="false">
      <c r="A165" s="1"/>
      <c r="B165" s="222" t="s">
        <v>214</v>
      </c>
      <c r="C165" s="1"/>
      <c r="D165" s="214" t="n">
        <f aca="false">DEGREES( ACOS( COS(0.001/12*PI())  *  COS(1/12*PI())))</f>
        <v>15.0000073278628</v>
      </c>
      <c r="E165" s="210" t="n">
        <f aca="false">DEGREES( ACOS( COS(1/12*PI())  *  COS(1/12*PI())))</f>
        <v>21.0905811789991</v>
      </c>
      <c r="F165" s="210" t="n">
        <f aca="false">DEGREES( ACOS( COS(2/12*PI())  *  COS(1/12*PI())))</f>
        <v>33.2259422032876</v>
      </c>
      <c r="G165" s="210" t="n">
        <f aca="false">DEGREES( ACOS( COS(3/12*PI())  *  COS(1/12*PI())))</f>
        <v>46.9204828581291</v>
      </c>
      <c r="H165" s="210" t="n">
        <f aca="false">DEGREES( ACOS( COS(4/12*PI())  *  COS(1/12*PI())))</f>
        <v>61.1209059825724</v>
      </c>
      <c r="I165" s="210" t="n">
        <f aca="false">DEGREES( ACOS( COS(5/12*PI())  *  COS(1/12*PI())))</f>
        <v>75.5224878140701</v>
      </c>
      <c r="J165" s="214" t="n">
        <f aca="false">DEGREES( ACOS( COS(6/12*PI())  *  COS(1/12*PI())))</f>
        <v>90</v>
      </c>
      <c r="K165" s="210" t="n">
        <f aca="false">DEGREES( ACOS( COS(7/12*PI())  *  COS(1/12*PI())))</f>
        <v>104.47751218593</v>
      </c>
      <c r="L165" s="210" t="n">
        <f aca="false">DEGREES( ACOS( COS(8/12*PI())  *  COS(1/12*PI())))</f>
        <v>118.879094017428</v>
      </c>
      <c r="M165" s="210" t="n">
        <f aca="false">DEGREES( ACOS( COS(9/12*PI())  *  COS(1/12*PI())))</f>
        <v>133.079517141871</v>
      </c>
      <c r="N165" s="210" t="n">
        <f aca="false">DEGREES( ACOS( COS(10/12*PI())  *  COS(1/12*PI())))</f>
        <v>146.774057796712</v>
      </c>
      <c r="O165" s="210" t="n">
        <f aca="false">DEGREES( ACOS( COS(11/12*PI())  *  COS(1/12*PI())))</f>
        <v>158.909418821001</v>
      </c>
      <c r="P165" s="214" t="n">
        <f aca="false">DEGREES( ACOS( COS(12/12*PI())  *  COS(1/12*PI())))</f>
        <v>165</v>
      </c>
      <c r="Q165" s="210" t="n">
        <f aca="false">DEGREES( ACOS( COS(13/12*PI())  *  COS(1/12*PI())))</f>
        <v>158.909418821001</v>
      </c>
      <c r="R165" s="210" t="n">
        <f aca="false">DEGREES( ACOS( COS(14/12*PI())  *  COS(1/12*PI())))</f>
        <v>146.774057796712</v>
      </c>
      <c r="S165" s="210" t="n">
        <f aca="false">DEGREES( ACOS( COS(15/12*PI())  *  COS(1/12*PI())))</f>
        <v>133.079517141871</v>
      </c>
      <c r="T165" s="210" t="n">
        <f aca="false">DEGREES( ACOS( COS(16/12*PI())  *  COS(1/12*PI())))</f>
        <v>118.879094017428</v>
      </c>
      <c r="U165" s="210" t="n">
        <f aca="false">DEGREES( ACOS( COS(17/12*PI())  *  COS(1/12*PI())))</f>
        <v>104.47751218593</v>
      </c>
      <c r="V165" s="214" t="n">
        <f aca="false">DEGREES( ACOS( COS(18/12*PI())  *  COS(1/12*PI())))</f>
        <v>90</v>
      </c>
      <c r="W165" s="210" t="n">
        <f aca="false">DEGREES( ACOS( COS(19/12*PI())  *  COS(1/12*PI())))</f>
        <v>75.5224878140701</v>
      </c>
      <c r="X165" s="210" t="n">
        <f aca="false">DEGREES( ACOS( COS(20/12*PI())  *  COS(1/12*PI())))</f>
        <v>61.1209059825724</v>
      </c>
      <c r="Y165" s="210" t="n">
        <f aca="false">DEGREES( ACOS( COS(21/12*PI())  *  COS(1/12*PI())))</f>
        <v>46.9204828581291</v>
      </c>
      <c r="Z165" s="210" t="n">
        <f aca="false">DEGREES( ACOS( COS(22/12*PI())  *  COS(1/12*PI())))</f>
        <v>33.2259422032876</v>
      </c>
      <c r="AA165" s="210" t="n">
        <f aca="false">DEGREES( ACOS( COS(23/12*PI())  *  COS(1/12*PI())))</f>
        <v>21.0905811789991</v>
      </c>
      <c r="AB165" s="214" t="n">
        <f aca="false">DEGREES( ACOS( COS(23.999/12*PI())  *  COS(1/12*PI())))</f>
        <v>15.0000073278628</v>
      </c>
      <c r="AC165" s="195" t="n">
        <f aca="false">DEGREES( ACOS( COS(AC$191)  *  COS($AH165)))</f>
        <v>15</v>
      </c>
      <c r="AD165" s="195" t="n">
        <f aca="false">DEGREES( ACOS( COS(AD$191)  *  COS($AH165)))</f>
        <v>15</v>
      </c>
      <c r="AE165" s="1"/>
      <c r="AF165" s="1"/>
      <c r="AG165" s="182" t="n">
        <v>15</v>
      </c>
      <c r="AH165" s="192" t="n">
        <f aca="false">RADIANS(MOD(AG165-180,-360)+180)</f>
        <v>0.261799387799149</v>
      </c>
      <c r="AI165" s="1"/>
      <c r="AJ165" s="1"/>
      <c r="AK165" s="1"/>
      <c r="AL165" s="1"/>
    </row>
    <row r="166" customFormat="false" ht="12.75" hidden="false" customHeight="true" outlineLevel="0" collapsed="false">
      <c r="A166" s="1"/>
      <c r="B166" s="222" t="s">
        <v>215</v>
      </c>
      <c r="C166" s="1"/>
      <c r="D166" s="214" t="n">
        <f aca="false">DEGREES( ACOS( COS(0.001/12*PI())  *  COS(2/12*PI())))</f>
        <v>30.0000034008736</v>
      </c>
      <c r="E166" s="210" t="n">
        <f aca="false">DEGREES( ACOS( COS(1/12*PI())  *  COS(2/12*PI())))</f>
        <v>33.2259422032876</v>
      </c>
      <c r="F166" s="210" t="n">
        <f aca="false">DEGREES( ACOS( COS(2/12*PI())  *  COS(2/12*PI())))</f>
        <v>41.4096221092709</v>
      </c>
      <c r="G166" s="210" t="n">
        <f aca="false">DEGREES( ACOS( COS(3/12*PI())  *  COS(2/12*PI())))</f>
        <v>52.238756092965</v>
      </c>
      <c r="H166" s="210" t="n">
        <f aca="false">DEGREES( ACOS( COS(4/12*PI())  *  COS(2/12*PI())))</f>
        <v>64.3410937267447</v>
      </c>
      <c r="I166" s="210" t="n">
        <f aca="false">DEGREES( ACOS( COS(5/12*PI())  *  COS(2/12*PI())))</f>
        <v>77.0474603577776</v>
      </c>
      <c r="J166" s="214" t="n">
        <f aca="false">DEGREES( ACOS( COS(6/12*PI())  *  COS(2/12*PI())))</f>
        <v>90</v>
      </c>
      <c r="K166" s="210" t="n">
        <f aca="false">DEGREES( ACOS( COS(7/12*PI())  *  COS(2/12*PI())))</f>
        <v>102.952539642222</v>
      </c>
      <c r="L166" s="210" t="n">
        <f aca="false">DEGREES( ACOS( COS(8/12*PI())  *  COS(2/12*PI())))</f>
        <v>115.658906273255</v>
      </c>
      <c r="M166" s="210" t="n">
        <f aca="false">DEGREES( ACOS( COS(9/12*PI())  *  COS(2/12*PI())))</f>
        <v>127.761243907035</v>
      </c>
      <c r="N166" s="210" t="n">
        <f aca="false">DEGREES( ACOS( COS(10/12*PI())  *  COS(2/12*PI())))</f>
        <v>138.590377890729</v>
      </c>
      <c r="O166" s="210" t="n">
        <f aca="false">DEGREES( ACOS( COS(11/12*PI())  *  COS(2/12*PI())))</f>
        <v>146.774057796712</v>
      </c>
      <c r="P166" s="214" t="n">
        <f aca="false">DEGREES( ACOS( COS(12/12*PI())  *  COS(2/12*PI())))</f>
        <v>150</v>
      </c>
      <c r="Q166" s="210" t="n">
        <f aca="false">DEGREES( ACOS( COS(13/12*PI())  *  COS(2/12*PI())))</f>
        <v>146.774057796712</v>
      </c>
      <c r="R166" s="210" t="n">
        <f aca="false">DEGREES( ACOS( COS(14/12*PI())  *  COS(2/12*PI())))</f>
        <v>138.590377890729</v>
      </c>
      <c r="S166" s="210" t="n">
        <f aca="false">DEGREES( ACOS( COS(15/12*PI())  *  COS(2/12*PI())))</f>
        <v>127.761243907035</v>
      </c>
      <c r="T166" s="210" t="n">
        <f aca="false">DEGREES( ACOS( COS(16/12*PI())  *  COS(2/12*PI())))</f>
        <v>115.658906273255</v>
      </c>
      <c r="U166" s="210" t="n">
        <f aca="false">DEGREES( ACOS( COS(17/12*PI())  *  COS(2/12*PI())))</f>
        <v>102.952539642222</v>
      </c>
      <c r="V166" s="214" t="n">
        <f aca="false">DEGREES( ACOS( COS(18/12*PI())  *  COS(2/12*PI())))</f>
        <v>90</v>
      </c>
      <c r="W166" s="210" t="n">
        <f aca="false">DEGREES( ACOS( COS(19/12*PI())  *  COS(2/12*PI())))</f>
        <v>77.0474603577777</v>
      </c>
      <c r="X166" s="210" t="n">
        <f aca="false">DEGREES( ACOS( COS(20/12*PI())  *  COS(2/12*PI())))</f>
        <v>64.3410937267447</v>
      </c>
      <c r="Y166" s="210" t="n">
        <f aca="false">DEGREES( ACOS( COS(21/12*PI())  *  COS(2/12*PI())))</f>
        <v>52.238756092965</v>
      </c>
      <c r="Z166" s="210" t="n">
        <f aca="false">DEGREES( ACOS( COS(22/12*PI())  *  COS(2/12*PI())))</f>
        <v>41.4096221092709</v>
      </c>
      <c r="AA166" s="210" t="n">
        <f aca="false">DEGREES( ACOS( COS(23/12*PI())  *  COS(2/12*PI())))</f>
        <v>33.2259422032876</v>
      </c>
      <c r="AB166" s="214" t="n">
        <f aca="false">DEGREES( ACOS( COS(23.999/12*PI())  *  COS(2/12*PI())))</f>
        <v>30.0000034008736</v>
      </c>
      <c r="AC166" s="195" t="n">
        <f aca="false">DEGREES( ACOS( COS(AC$191)  *  COS($AH166)))</f>
        <v>30</v>
      </c>
      <c r="AD166" s="195" t="n">
        <f aca="false">DEGREES( ACOS( COS(AD$191)  *  COS($AH166)))</f>
        <v>30</v>
      </c>
      <c r="AE166" s="1"/>
      <c r="AF166" s="1"/>
      <c r="AG166" s="182" t="n">
        <v>30</v>
      </c>
      <c r="AH166" s="192" t="n">
        <f aca="false">RADIANS(MOD(AG166-180,-360)+180)</f>
        <v>0.523598775598299</v>
      </c>
      <c r="AI166" s="1"/>
      <c r="AJ166" s="1"/>
      <c r="AK166" s="1"/>
      <c r="AL166" s="1"/>
    </row>
    <row r="167" customFormat="false" ht="12.75" hidden="false" customHeight="true" outlineLevel="0" collapsed="false">
      <c r="A167" s="1"/>
      <c r="B167" s="222" t="s">
        <v>216</v>
      </c>
      <c r="C167" s="1"/>
      <c r="D167" s="214" t="n">
        <f aca="false">DEGREES( ACOS( COS(0.001/12*PI())  *  COS(3/12*PI())))</f>
        <v>45.0000019634954</v>
      </c>
      <c r="E167" s="210" t="n">
        <f aca="false">DEGREES( ACOS( COS(1/12*PI())  *  COS(3/12*PI())))</f>
        <v>46.9204828581291</v>
      </c>
      <c r="F167" s="210" t="n">
        <f aca="false">DEGREES( ACOS( COS(2/12*PI())  *  COS(3/12*PI())))</f>
        <v>52.238756092965</v>
      </c>
      <c r="G167" s="210" t="n">
        <f aca="false">DEGREES( ACOS( COS(3/12*PI())  *  COS(3/12*PI())))</f>
        <v>60</v>
      </c>
      <c r="H167" s="210" t="n">
        <f aca="false">DEGREES( ACOS( COS(4/12*PI())  *  COS(3/12*PI())))</f>
        <v>69.2951889453646</v>
      </c>
      <c r="I167" s="210" t="n">
        <f aca="false">DEGREES( ACOS( COS(5/12*PI())  *  COS(3/12*PI())))</f>
        <v>79.4547094105004</v>
      </c>
      <c r="J167" s="214" t="n">
        <f aca="false">DEGREES( ACOS( COS(6/12*PI())  *  COS(3/12*PI())))</f>
        <v>90</v>
      </c>
      <c r="K167" s="210" t="n">
        <f aca="false">DEGREES( ACOS( COS(7/12*PI())  *  COS(3/12*PI())))</f>
        <v>100.5452905895</v>
      </c>
      <c r="L167" s="210" t="n">
        <f aca="false">DEGREES( ACOS( COS(8/12*PI())  *  COS(3/12*PI())))</f>
        <v>110.704811054635</v>
      </c>
      <c r="M167" s="210" t="n">
        <f aca="false">DEGREES( ACOS( COS(9/12*PI())  *  COS(3/12*PI())))</f>
        <v>120</v>
      </c>
      <c r="N167" s="210" t="n">
        <f aca="false">DEGREES( ACOS( COS(10/12*PI())  *  COS(3/12*PI())))</f>
        <v>127.761243907035</v>
      </c>
      <c r="O167" s="210" t="n">
        <f aca="false">DEGREES( ACOS( COS(11/12*PI())  *  COS(3/12*PI())))</f>
        <v>133.079517141871</v>
      </c>
      <c r="P167" s="214" t="n">
        <f aca="false">DEGREES( ACOS( COS(12/12*PI())  *  COS(3/12*PI())))</f>
        <v>135</v>
      </c>
      <c r="Q167" s="210" t="n">
        <f aca="false">DEGREES( ACOS( COS(13/12*PI())  *  COS(3/12*PI())))</f>
        <v>133.079517141871</v>
      </c>
      <c r="R167" s="210" t="n">
        <f aca="false">DEGREES( ACOS( COS(14/12*PI())  *  COS(3/12*PI())))</f>
        <v>127.761243907035</v>
      </c>
      <c r="S167" s="210" t="n">
        <f aca="false">DEGREES( ACOS( COS(15/12*PI())  *  COS(3/12*PI())))</f>
        <v>120</v>
      </c>
      <c r="T167" s="210" t="n">
        <f aca="false">DEGREES( ACOS( COS(16/12*PI())  *  COS(3/12*PI())))</f>
        <v>110.704811054635</v>
      </c>
      <c r="U167" s="210" t="n">
        <f aca="false">DEGREES( ACOS( COS(17/12*PI())  *  COS(3/12*PI())))</f>
        <v>100.5452905895</v>
      </c>
      <c r="V167" s="214" t="n">
        <f aca="false">DEGREES( ACOS( COS(18/12*PI())  *  COS(3/12*PI())))</f>
        <v>90</v>
      </c>
      <c r="W167" s="210" t="n">
        <f aca="false">DEGREES( ACOS( COS(19/12*PI())  *  COS(3/12*PI())))</f>
        <v>79.4547094105005</v>
      </c>
      <c r="X167" s="210" t="n">
        <f aca="false">DEGREES( ACOS( COS(20/12*PI())  *  COS(3/12*PI())))</f>
        <v>69.2951889453646</v>
      </c>
      <c r="Y167" s="210" t="n">
        <f aca="false">DEGREES( ACOS( COS(21/12*PI())  *  COS(3/12*PI())))</f>
        <v>60</v>
      </c>
      <c r="Z167" s="210" t="n">
        <f aca="false">DEGREES( ACOS( COS(22/12*PI())  *  COS(3/12*PI())))</f>
        <v>52.238756092965</v>
      </c>
      <c r="AA167" s="210" t="n">
        <f aca="false">DEGREES( ACOS( COS(23/12*PI())  *  COS(3/12*PI())))</f>
        <v>46.9204828581291</v>
      </c>
      <c r="AB167" s="214" t="n">
        <f aca="false">DEGREES( ACOS( COS(23.999/12*PI())  *  COS(3/12*PI())))</f>
        <v>45.0000019634954</v>
      </c>
      <c r="AC167" s="195" t="n">
        <f aca="false">DEGREES( ACOS( COS(AC$191)  *  COS($AH167)))</f>
        <v>45</v>
      </c>
      <c r="AD167" s="195" t="n">
        <f aca="false">DEGREES( ACOS( COS(AD$191)  *  COS($AH167)))</f>
        <v>45</v>
      </c>
      <c r="AE167" s="1"/>
      <c r="AF167" s="1"/>
      <c r="AG167" s="182" t="n">
        <v>45</v>
      </c>
      <c r="AH167" s="192" t="n">
        <f aca="false">RADIANS(MOD(AG167-180,-360)+180)</f>
        <v>0.785398163397448</v>
      </c>
      <c r="AI167" s="1"/>
      <c r="AJ167" s="1"/>
      <c r="AK167" s="1"/>
      <c r="AL167" s="1"/>
    </row>
    <row r="168" customFormat="false" ht="12.75" hidden="false" customHeight="true" outlineLevel="0" collapsed="false">
      <c r="A168" s="1"/>
      <c r="B168" s="222" t="s">
        <v>217</v>
      </c>
      <c r="C168" s="1"/>
      <c r="D168" s="214" t="n">
        <f aca="false">DEGREES( ACOS( COS(0.001/12*PI())  *  COS(4/12*PI())))</f>
        <v>60.0000011336246</v>
      </c>
      <c r="E168" s="210" t="n">
        <f aca="false">DEGREES( ACOS( COS(1/12*PI())  *  COS(4/12*PI())))</f>
        <v>61.1209059825724</v>
      </c>
      <c r="F168" s="210" t="n">
        <f aca="false">DEGREES( ACOS( COS(2/12*PI())  *  COS(4/12*PI())))</f>
        <v>64.3410937267447</v>
      </c>
      <c r="G168" s="210" t="n">
        <f aca="false">DEGREES( ACOS( COS(3/12*PI())  *  COS(4/12*PI())))</f>
        <v>69.2951889453646</v>
      </c>
      <c r="H168" s="210" t="n">
        <f aca="false">DEGREES( ACOS( COS(4/12*PI())  *  COS(4/12*PI())))</f>
        <v>75.5224878140701</v>
      </c>
      <c r="I168" s="210" t="n">
        <f aca="false">DEGREES( ACOS( COS(5/12*PI())  *  COS(4/12*PI())))</f>
        <v>82.5645277738682</v>
      </c>
      <c r="J168" s="214" t="n">
        <f aca="false">DEGREES( ACOS( COS(6/12*PI())  *  COS(4/12*PI())))</f>
        <v>90</v>
      </c>
      <c r="K168" s="210" t="n">
        <f aca="false">DEGREES( ACOS( COS(7/12*PI())  *  COS(4/12*PI())))</f>
        <v>97.4354722261319</v>
      </c>
      <c r="L168" s="210" t="n">
        <f aca="false">DEGREES( ACOS( COS(8/12*PI())  *  COS(4/12*PI())))</f>
        <v>104.47751218593</v>
      </c>
      <c r="M168" s="210" t="n">
        <f aca="false">DEGREES( ACOS( COS(9/12*PI())  *  COS(4/12*PI())))</f>
        <v>110.704811054635</v>
      </c>
      <c r="N168" s="210" t="n">
        <f aca="false">DEGREES( ACOS( COS(10/12*PI())  *  COS(4/12*PI())))</f>
        <v>115.658906273255</v>
      </c>
      <c r="O168" s="210" t="n">
        <f aca="false">DEGREES( ACOS( COS(11/12*PI())  *  COS(4/12*PI())))</f>
        <v>118.879094017428</v>
      </c>
      <c r="P168" s="214" t="n">
        <f aca="false">DEGREES( ACOS( COS(12/12*PI())  *  COS(4/12*PI())))</f>
        <v>120</v>
      </c>
      <c r="Q168" s="210" t="n">
        <f aca="false">DEGREES( ACOS( COS(13/12*PI())  *  COS(4/12*PI())))</f>
        <v>118.879094017428</v>
      </c>
      <c r="R168" s="210" t="n">
        <f aca="false">DEGREES( ACOS( COS(14/12*PI())  *  COS(4/12*PI())))</f>
        <v>115.658906273255</v>
      </c>
      <c r="S168" s="210" t="n">
        <f aca="false">DEGREES( ACOS( COS(15/12*PI())  *  COS(4/12*PI())))</f>
        <v>110.704811054635</v>
      </c>
      <c r="T168" s="210" t="n">
        <f aca="false">DEGREES( ACOS( COS(16/12*PI())  *  COS(4/12*PI())))</f>
        <v>104.47751218593</v>
      </c>
      <c r="U168" s="210" t="n">
        <f aca="false">DEGREES( ACOS( COS(17/12*PI())  *  COS(4/12*PI())))</f>
        <v>97.4354722261319</v>
      </c>
      <c r="V168" s="214" t="n">
        <f aca="false">DEGREES( ACOS( COS(18/12*PI())  *  COS(4/12*PI())))</f>
        <v>90</v>
      </c>
      <c r="W168" s="210" t="n">
        <f aca="false">DEGREES( ACOS( COS(19/12*PI())  *  COS(4/12*PI())))</f>
        <v>82.5645277738682</v>
      </c>
      <c r="X168" s="210" t="n">
        <f aca="false">DEGREES( ACOS( COS(20/12*PI())  *  COS(4/12*PI())))</f>
        <v>75.5224878140701</v>
      </c>
      <c r="Y168" s="210" t="n">
        <f aca="false">DEGREES( ACOS( COS(21/12*PI())  *  COS(4/12*PI())))</f>
        <v>69.2951889453646</v>
      </c>
      <c r="Z168" s="210" t="n">
        <f aca="false">DEGREES( ACOS( COS(22/12*PI())  *  COS(4/12*PI())))</f>
        <v>64.3410937267447</v>
      </c>
      <c r="AA168" s="210" t="n">
        <f aca="false">DEGREES( ACOS( COS(23/12*PI())  *  COS(4/12*PI())))</f>
        <v>61.1209059825724</v>
      </c>
      <c r="AB168" s="214" t="n">
        <f aca="false">DEGREES( ACOS( COS(23.999/12*PI())  *  COS(4/12*PI())))</f>
        <v>60.0000011336246</v>
      </c>
      <c r="AC168" s="195" t="n">
        <f aca="false">DEGREES( ACOS( COS(AC$191)  *  COS($AH168)))</f>
        <v>60</v>
      </c>
      <c r="AD168" s="195" t="n">
        <f aca="false">DEGREES( ACOS( COS(AD$191)  *  COS($AH168)))</f>
        <v>60</v>
      </c>
      <c r="AE168" s="1"/>
      <c r="AF168" s="1"/>
      <c r="AG168" s="182" t="n">
        <v>60</v>
      </c>
      <c r="AH168" s="192" t="n">
        <f aca="false">RADIANS(MOD(AG168-180,-360)+180)</f>
        <v>1.0471975511966</v>
      </c>
      <c r="AI168" s="1"/>
      <c r="AJ168" s="1"/>
      <c r="AK168" s="1"/>
      <c r="AL168" s="1"/>
    </row>
    <row r="169" customFormat="false" ht="12.75" hidden="false" customHeight="true" outlineLevel="0" collapsed="false">
      <c r="A169" s="1"/>
      <c r="B169" s="222" t="s">
        <v>218</v>
      </c>
      <c r="C169" s="1"/>
      <c r="D169" s="214" t="n">
        <f aca="false">DEGREES( ACOS( COS(0.001/12*PI())  *  COS(5/12*PI())))</f>
        <v>75.000000526117</v>
      </c>
      <c r="E169" s="210" t="n">
        <f aca="false">DEGREES( ACOS( COS(1/12*PI())  *  COS(5/12*PI())))</f>
        <v>75.5224878140701</v>
      </c>
      <c r="F169" s="210" t="n">
        <f aca="false">DEGREES( ACOS( COS(2/12*PI())  *  COS(5/12*PI())))</f>
        <v>77.0474603577776</v>
      </c>
      <c r="G169" s="210" t="n">
        <f aca="false">DEGREES( ACOS( COS(3/12*PI())  *  COS(5/12*PI())))</f>
        <v>79.4547094105004</v>
      </c>
      <c r="H169" s="210" t="n">
        <f aca="false">DEGREES( ACOS( COS(4/12*PI())  *  COS(5/12*PI())))</f>
        <v>82.5645277738682</v>
      </c>
      <c r="I169" s="210" t="n">
        <f aca="false">DEGREES( ACOS( COS(5/12*PI())  *  COS(5/12*PI())))</f>
        <v>86.1590342837419</v>
      </c>
      <c r="J169" s="214" t="n">
        <f aca="false">DEGREES( ACOS( COS(6/12*PI())  *  COS(5/12*PI())))</f>
        <v>90</v>
      </c>
      <c r="K169" s="210" t="n">
        <f aca="false">DEGREES( ACOS( COS(7/12*PI())  *  COS(5/12*PI())))</f>
        <v>93.8409657162582</v>
      </c>
      <c r="L169" s="210" t="n">
        <f aca="false">DEGREES( ACOS( COS(8/12*PI())  *  COS(5/12*PI())))</f>
        <v>97.4354722261319</v>
      </c>
      <c r="M169" s="210" t="n">
        <f aca="false">DEGREES( ACOS( COS(9/12*PI())  *  COS(5/12*PI())))</f>
        <v>100.5452905895</v>
      </c>
      <c r="N169" s="210" t="n">
        <f aca="false">DEGREES( ACOS( COS(10/12*PI())  *  COS(5/12*PI())))</f>
        <v>102.952539642222</v>
      </c>
      <c r="O169" s="210" t="n">
        <f aca="false">DEGREES( ACOS( COS(11/12*PI())  *  COS(5/12*PI())))</f>
        <v>104.47751218593</v>
      </c>
      <c r="P169" s="214" t="n">
        <f aca="false">DEGREES( ACOS( COS(12/12*PI())  *  COS(5/12*PI())))</f>
        <v>105</v>
      </c>
      <c r="Q169" s="210" t="n">
        <f aca="false">DEGREES( ACOS( COS(13/12*PI())  *  COS(5/12*PI())))</f>
        <v>104.47751218593</v>
      </c>
      <c r="R169" s="210" t="n">
        <f aca="false">DEGREES( ACOS( COS(14/12*PI())  *  COS(5/12*PI())))</f>
        <v>102.952539642222</v>
      </c>
      <c r="S169" s="210" t="n">
        <f aca="false">DEGREES( ACOS( COS(15/12*PI())  *  COS(5/12*PI())))</f>
        <v>100.5452905895</v>
      </c>
      <c r="T169" s="210" t="n">
        <f aca="false">DEGREES( ACOS( COS(16/12*PI())  *  COS(5/12*PI())))</f>
        <v>97.4354722261319</v>
      </c>
      <c r="U169" s="210" t="n">
        <f aca="false">DEGREES( ACOS( COS(17/12*PI())  *  COS(5/12*PI())))</f>
        <v>93.8409657162582</v>
      </c>
      <c r="V169" s="214" t="n">
        <f aca="false">DEGREES( ACOS( COS(18/12*PI())  *  COS(5/12*PI())))</f>
        <v>90</v>
      </c>
      <c r="W169" s="210" t="n">
        <f aca="false">DEGREES( ACOS( COS(19/12*PI())  *  COS(5/12*PI())))</f>
        <v>86.1590342837419</v>
      </c>
      <c r="X169" s="210" t="n">
        <f aca="false">DEGREES( ACOS( COS(20/12*PI())  *  COS(5/12*PI())))</f>
        <v>82.5645277738682</v>
      </c>
      <c r="Y169" s="210" t="n">
        <f aca="false">DEGREES( ACOS( COS(21/12*PI())  *  COS(5/12*PI())))</f>
        <v>79.4547094105005</v>
      </c>
      <c r="Z169" s="210" t="n">
        <f aca="false">DEGREES( ACOS( COS(22/12*PI())  *  COS(5/12*PI())))</f>
        <v>77.0474603577776</v>
      </c>
      <c r="AA169" s="210" t="n">
        <f aca="false">DEGREES( ACOS( COS(23/12*PI())  *  COS(5/12*PI())))</f>
        <v>75.5224878140701</v>
      </c>
      <c r="AB169" s="214" t="n">
        <f aca="false">DEGREES( ACOS( COS(23.999/12*PI())  *  COS(5/12*PI())))</f>
        <v>75.000000526117</v>
      </c>
      <c r="AC169" s="195" t="n">
        <f aca="false">DEGREES( ACOS( COS(AC$191)  *  COS($AH169)))</f>
        <v>75</v>
      </c>
      <c r="AD169" s="195" t="n">
        <f aca="false">DEGREES( ACOS( COS(AD$191)  *  COS($AH169)))</f>
        <v>75</v>
      </c>
      <c r="AE169" s="1"/>
      <c r="AF169" s="1"/>
      <c r="AG169" s="182" t="n">
        <v>75</v>
      </c>
      <c r="AH169" s="192" t="n">
        <f aca="false">RADIANS(MOD(AG169-180,-360)+180)</f>
        <v>1.30899693899575</v>
      </c>
      <c r="AI169" s="1"/>
      <c r="AJ169" s="1"/>
      <c r="AK169" s="1"/>
      <c r="AL169" s="1"/>
    </row>
    <row r="170" customFormat="false" ht="12.75" hidden="false" customHeight="true" outlineLevel="0" collapsed="false">
      <c r="A170" s="1"/>
      <c r="B170" s="222" t="s">
        <v>219</v>
      </c>
      <c r="C170" s="1"/>
      <c r="D170" s="214" t="n">
        <f aca="false">DEGREES( ACOS( COS(0.001/12*PI())  *  COS(6/12*PI())))</f>
        <v>90</v>
      </c>
      <c r="E170" s="214" t="n">
        <f aca="false">DEGREES( ACOS( COS(1/12*PI())  *  COS(6/12*PI())))</f>
        <v>90</v>
      </c>
      <c r="F170" s="214" t="n">
        <f aca="false">DEGREES( ACOS( COS(2/12*PI())  *  COS(6/12*PI())))</f>
        <v>90</v>
      </c>
      <c r="G170" s="214" t="n">
        <f aca="false">DEGREES( ACOS( COS(3/12*PI())  *  COS(6/12*PI())))</f>
        <v>90</v>
      </c>
      <c r="H170" s="214" t="n">
        <f aca="false">DEGREES( ACOS( COS(4/12*PI())  *  COS(6/12*PI())))</f>
        <v>90</v>
      </c>
      <c r="I170" s="214" t="n">
        <f aca="false">DEGREES( ACOS( COS(5/12*PI())  *  COS(6/12*PI())))</f>
        <v>90</v>
      </c>
      <c r="J170" s="214" t="n">
        <f aca="false">DEGREES( ACOS( COS(6/12*PI())  *  COS(6/12*PI())))</f>
        <v>90</v>
      </c>
      <c r="K170" s="214" t="n">
        <f aca="false">DEGREES( ACOS( COS(7/12*PI())  *  COS(6/12*PI())))</f>
        <v>90</v>
      </c>
      <c r="L170" s="214" t="n">
        <f aca="false">DEGREES( ACOS( COS(8/12*PI())  *  COS(6/12*PI())))</f>
        <v>90</v>
      </c>
      <c r="M170" s="214" t="n">
        <f aca="false">DEGREES( ACOS( COS(9/12*PI())  *  COS(6/12*PI())))</f>
        <v>90</v>
      </c>
      <c r="N170" s="214" t="n">
        <f aca="false">DEGREES( ACOS( COS(10/12*PI())  *  COS(6/12*PI())))</f>
        <v>90</v>
      </c>
      <c r="O170" s="214" t="n">
        <f aca="false">DEGREES( ACOS( COS(11/12*PI())  *  COS(6/12*PI())))</f>
        <v>90</v>
      </c>
      <c r="P170" s="214" t="n">
        <f aca="false">DEGREES( ACOS( COS(12/12*PI())  *  COS(6/12*PI())))</f>
        <v>90</v>
      </c>
      <c r="Q170" s="214" t="n">
        <f aca="false">DEGREES( ACOS( COS(13/12*PI())  *  COS(6/12*PI())))</f>
        <v>90</v>
      </c>
      <c r="R170" s="214" t="n">
        <f aca="false">DEGREES( ACOS( COS(14/12*PI())  *  COS(6/12*PI())))</f>
        <v>90</v>
      </c>
      <c r="S170" s="214" t="n">
        <f aca="false">DEGREES( ACOS( COS(15/12*PI())  *  COS(6/12*PI())))</f>
        <v>90</v>
      </c>
      <c r="T170" s="214" t="n">
        <f aca="false">DEGREES( ACOS( COS(16/12*PI())  *  COS(6/12*PI())))</f>
        <v>90</v>
      </c>
      <c r="U170" s="214" t="n">
        <f aca="false">DEGREES( ACOS( COS(17/12*PI())  *  COS(6/12*PI())))</f>
        <v>90</v>
      </c>
      <c r="V170" s="214" t="n">
        <f aca="false">DEGREES( ACOS( COS(18/12*PI())  *  COS(6/12*PI())))</f>
        <v>90</v>
      </c>
      <c r="W170" s="214" t="n">
        <f aca="false">DEGREES( ACOS( COS(19/12*PI())  *  COS(6/12*PI())))</f>
        <v>90</v>
      </c>
      <c r="X170" s="214" t="n">
        <f aca="false">DEGREES( ACOS( COS(20/12*PI())  *  COS(6/12*PI())))</f>
        <v>90</v>
      </c>
      <c r="Y170" s="214" t="n">
        <f aca="false">DEGREES( ACOS( COS(21/12*PI())  *  COS(6/12*PI())))</f>
        <v>90</v>
      </c>
      <c r="Z170" s="214" t="n">
        <f aca="false">DEGREES( ACOS( COS(22/12*PI())  *  COS(6/12*PI())))</f>
        <v>90</v>
      </c>
      <c r="AA170" s="214" t="n">
        <f aca="false">DEGREES( ACOS( COS(23/12*PI())  *  COS(6/12*PI())))</f>
        <v>90</v>
      </c>
      <c r="AB170" s="214" t="n">
        <f aca="false">DEGREES( ACOS( COS(23.999/12*PI())  *  COS(6/12*PI())))</f>
        <v>90</v>
      </c>
      <c r="AC170" s="195" t="n">
        <f aca="false">DEGREES( ACOS( COS(AC$191)  *  COS($AH170)))</f>
        <v>90</v>
      </c>
      <c r="AD170" s="195" t="n">
        <f aca="false">DEGREES( ACOS( COS(AD$191)  *  COS($AH170)))</f>
        <v>90</v>
      </c>
      <c r="AE170" s="1"/>
      <c r="AF170" s="1"/>
      <c r="AG170" s="182" t="n">
        <v>90</v>
      </c>
      <c r="AH170" s="192" t="n">
        <f aca="false">RADIANS(MOD(AG170-180,-360)+180)</f>
        <v>1.5707963267949</v>
      </c>
      <c r="AI170" s="1"/>
      <c r="AJ170" s="1"/>
      <c r="AK170" s="1"/>
      <c r="AL170" s="1"/>
    </row>
    <row r="171" customFormat="false" ht="12.75" hidden="false" customHeight="true" outlineLevel="0" collapsed="false">
      <c r="A171" s="1"/>
      <c r="B171" s="222" t="s">
        <v>220</v>
      </c>
      <c r="C171" s="1"/>
      <c r="D171" s="214" t="n">
        <f aca="false">DEGREES( ACOS( COS(0.001/12*PI())  *  COS(7/12*PI())))</f>
        <v>104.999999473883</v>
      </c>
      <c r="E171" s="210" t="n">
        <f aca="false">DEGREES( ACOS( COS(1/12*PI())  *  COS(7/12*PI())))</f>
        <v>104.47751218593</v>
      </c>
      <c r="F171" s="210" t="n">
        <f aca="false">DEGREES( ACOS( COS(2/12*PI())  *  COS(7/12*PI())))</f>
        <v>102.952539642222</v>
      </c>
      <c r="G171" s="210" t="n">
        <f aca="false">DEGREES( ACOS( COS(3/12*PI())  *  COS(7/12*PI())))</f>
        <v>100.5452905895</v>
      </c>
      <c r="H171" s="210" t="n">
        <f aca="false">DEGREES( ACOS( COS(4/12*PI())  *  COS(7/12*PI())))</f>
        <v>97.4354722261319</v>
      </c>
      <c r="I171" s="210" t="n">
        <f aca="false">DEGREES( ACOS( COS(5/12*PI())  *  COS(7/12*PI())))</f>
        <v>93.8409657162582</v>
      </c>
      <c r="J171" s="214" t="n">
        <f aca="false">DEGREES( ACOS( COS(6/12*PI())  *  COS(7/12*PI())))</f>
        <v>90</v>
      </c>
      <c r="K171" s="210" t="n">
        <f aca="false">DEGREES( ACOS( COS(7/12*PI())  *  COS(7/12*PI())))</f>
        <v>86.1590342837419</v>
      </c>
      <c r="L171" s="210" t="n">
        <f aca="false">DEGREES( ACOS( COS(8/12*PI())  *  COS(7/12*PI())))</f>
        <v>82.5645277738682</v>
      </c>
      <c r="M171" s="210" t="n">
        <f aca="false">DEGREES( ACOS( COS(9/12*PI())  *  COS(7/12*PI())))</f>
        <v>79.4547094105004</v>
      </c>
      <c r="N171" s="210" t="n">
        <f aca="false">DEGREES( ACOS( COS(10/12*PI())  *  COS(7/12*PI())))</f>
        <v>77.0474603577776</v>
      </c>
      <c r="O171" s="210" t="n">
        <f aca="false">DEGREES( ACOS( COS(11/12*PI())  *  COS(7/12*PI())))</f>
        <v>75.5224878140701</v>
      </c>
      <c r="P171" s="214" t="n">
        <f aca="false">DEGREES( ACOS( COS(12/12*PI())  *  COS(7/12*PI())))</f>
        <v>75</v>
      </c>
      <c r="Q171" s="210" t="n">
        <f aca="false">DEGREES( ACOS( COS(13/12*PI())  *  COS(7/12*PI())))</f>
        <v>75.5224878140701</v>
      </c>
      <c r="R171" s="210" t="n">
        <f aca="false">DEGREES( ACOS( COS(14/12*PI())  *  COS(7/12*PI())))</f>
        <v>77.0474603577776</v>
      </c>
      <c r="S171" s="210" t="n">
        <f aca="false">DEGREES( ACOS( COS(15/12*PI())  *  COS(7/12*PI())))</f>
        <v>79.4547094105004</v>
      </c>
      <c r="T171" s="210" t="n">
        <f aca="false">DEGREES( ACOS( COS(16/12*PI())  *  COS(7/12*PI())))</f>
        <v>82.5645277738682</v>
      </c>
      <c r="U171" s="210" t="n">
        <f aca="false">DEGREES( ACOS( COS(17/12*PI())  *  COS(7/12*PI())))</f>
        <v>86.1590342837419</v>
      </c>
      <c r="V171" s="214" t="n">
        <f aca="false">DEGREES( ACOS( COS(18/12*PI())  *  COS(7/12*PI())))</f>
        <v>90</v>
      </c>
      <c r="W171" s="210" t="n">
        <f aca="false">DEGREES( ACOS( COS(19/12*PI())  *  COS(7/12*PI())))</f>
        <v>93.8409657162582</v>
      </c>
      <c r="X171" s="210" t="n">
        <f aca="false">DEGREES( ACOS( COS(20/12*PI())  *  COS(7/12*PI())))</f>
        <v>97.4354722261319</v>
      </c>
      <c r="Y171" s="210" t="n">
        <f aca="false">DEGREES( ACOS( COS(21/12*PI())  *  COS(7/12*PI())))</f>
        <v>100.5452905895</v>
      </c>
      <c r="Z171" s="210" t="n">
        <f aca="false">DEGREES( ACOS( COS(22/12*PI())  *  COS(7/12*PI())))</f>
        <v>102.952539642222</v>
      </c>
      <c r="AA171" s="210" t="n">
        <f aca="false">DEGREES( ACOS( COS(23/12*PI())  *  COS(7/12*PI())))</f>
        <v>104.47751218593</v>
      </c>
      <c r="AB171" s="214" t="n">
        <f aca="false">DEGREES( ACOS( COS(23.999/12*PI())  *  COS(7/12*PI())))</f>
        <v>104.999999473883</v>
      </c>
      <c r="AC171" s="195" t="n">
        <f aca="false">DEGREES( ACOS( COS(AC$191)  *  COS($AH171)))</f>
        <v>105</v>
      </c>
      <c r="AD171" s="195" t="n">
        <f aca="false">DEGREES( ACOS( COS(AD$191)  *  COS($AH171)))</f>
        <v>105</v>
      </c>
      <c r="AE171" s="1"/>
      <c r="AF171" s="1"/>
      <c r="AG171" s="182" t="n">
        <v>105</v>
      </c>
      <c r="AH171" s="192" t="n">
        <f aca="false">RADIANS(MOD(AG171-180,-360)+180)</f>
        <v>1.83259571459405</v>
      </c>
      <c r="AI171" s="1"/>
      <c r="AJ171" s="1"/>
      <c r="AK171" s="1"/>
      <c r="AL171" s="1"/>
    </row>
    <row r="172" customFormat="false" ht="12.75" hidden="false" customHeight="true" outlineLevel="0" collapsed="false">
      <c r="A172" s="1"/>
      <c r="B172" s="222" t="s">
        <v>221</v>
      </c>
      <c r="C172" s="1"/>
      <c r="D172" s="214" t="n">
        <f aca="false">DEGREES( ACOS( COS(0.001/12*PI())  *  COS(8/12*PI())))</f>
        <v>119.999998866375</v>
      </c>
      <c r="E172" s="210" t="n">
        <f aca="false">DEGREES( ACOS( COS(1/12*PI())  *  COS(8/12*PI())))</f>
        <v>118.879094017428</v>
      </c>
      <c r="F172" s="210" t="n">
        <f aca="false">DEGREES( ACOS( COS(2/12*PI())  *  COS(8/12*PI())))</f>
        <v>115.658906273255</v>
      </c>
      <c r="G172" s="210" t="n">
        <f aca="false">DEGREES( ACOS( COS(3/12*PI())  *  COS(8/12*PI())))</f>
        <v>110.704811054635</v>
      </c>
      <c r="H172" s="210" t="n">
        <f aca="false">DEGREES( ACOS( COS(4/12*PI())  *  COS(8/12*PI())))</f>
        <v>104.47751218593</v>
      </c>
      <c r="I172" s="210" t="n">
        <f aca="false">DEGREES( ACOS( COS(5/12*PI())  *  COS(8/12*PI())))</f>
        <v>97.4354722261319</v>
      </c>
      <c r="J172" s="214" t="n">
        <f aca="false">DEGREES( ACOS( COS(6/12*PI())  *  COS(8/12*PI())))</f>
        <v>90</v>
      </c>
      <c r="K172" s="210" t="n">
        <f aca="false">DEGREES( ACOS( COS(7/12*PI())  *  COS(8/12*PI())))</f>
        <v>82.5645277738682</v>
      </c>
      <c r="L172" s="210" t="n">
        <f aca="false">DEGREES( ACOS( COS(8/12*PI())  *  COS(8/12*PI())))</f>
        <v>75.5224878140701</v>
      </c>
      <c r="M172" s="210" t="n">
        <f aca="false">DEGREES( ACOS( COS(9/12*PI())  *  COS(8/12*PI())))</f>
        <v>69.2951889453646</v>
      </c>
      <c r="N172" s="210" t="n">
        <f aca="false">DEGREES( ACOS( COS(10/12*PI())  *  COS(8/12*PI())))</f>
        <v>64.3410937267447</v>
      </c>
      <c r="O172" s="210" t="n">
        <f aca="false">DEGREES( ACOS( COS(11/12*PI())  *  COS(8/12*PI())))</f>
        <v>61.1209059825724</v>
      </c>
      <c r="P172" s="214" t="n">
        <f aca="false">DEGREES( ACOS( COS(12/12*PI())  *  COS(8/12*PI())))</f>
        <v>60</v>
      </c>
      <c r="Q172" s="210" t="n">
        <f aca="false">DEGREES( ACOS( COS(13/12*PI())  *  COS(8/12*PI())))</f>
        <v>61.1209059825724</v>
      </c>
      <c r="R172" s="210" t="n">
        <f aca="false">DEGREES( ACOS( COS(14/12*PI())  *  COS(8/12*PI())))</f>
        <v>64.3410937267447</v>
      </c>
      <c r="S172" s="210" t="n">
        <f aca="false">DEGREES( ACOS( COS(15/12*PI())  *  COS(8/12*PI())))</f>
        <v>69.2951889453646</v>
      </c>
      <c r="T172" s="210" t="n">
        <f aca="false">DEGREES( ACOS( COS(16/12*PI())  *  COS(8/12*PI())))</f>
        <v>75.5224878140701</v>
      </c>
      <c r="U172" s="210" t="n">
        <f aca="false">DEGREES( ACOS( COS(17/12*PI())  *  COS(8/12*PI())))</f>
        <v>82.5645277738682</v>
      </c>
      <c r="V172" s="214" t="n">
        <f aca="false">DEGREES( ACOS( COS(18/12*PI())  *  COS(8/12*PI())))</f>
        <v>90</v>
      </c>
      <c r="W172" s="210" t="n">
        <f aca="false">DEGREES( ACOS( COS(19/12*PI())  *  COS(8/12*PI())))</f>
        <v>97.4354722261318</v>
      </c>
      <c r="X172" s="210" t="n">
        <f aca="false">DEGREES( ACOS( COS(20/12*PI())  *  COS(8/12*PI())))</f>
        <v>104.47751218593</v>
      </c>
      <c r="Y172" s="210" t="n">
        <f aca="false">DEGREES( ACOS( COS(21/12*PI())  *  COS(8/12*PI())))</f>
        <v>110.704811054635</v>
      </c>
      <c r="Z172" s="210" t="n">
        <f aca="false">DEGREES( ACOS( COS(22/12*PI())  *  COS(8/12*PI())))</f>
        <v>115.658906273255</v>
      </c>
      <c r="AA172" s="210" t="n">
        <f aca="false">DEGREES( ACOS( COS(23/12*PI())  *  COS(8/12*PI())))</f>
        <v>118.879094017428</v>
      </c>
      <c r="AB172" s="214" t="n">
        <f aca="false">DEGREES( ACOS( COS(23.999/12*PI())  *  COS(8/12*PI())))</f>
        <v>119.999998866375</v>
      </c>
      <c r="AC172" s="195" t="n">
        <f aca="false">DEGREES( ACOS( COS(AC$191)  *  COS($AH172)))</f>
        <v>120</v>
      </c>
      <c r="AD172" s="195" t="n">
        <f aca="false">DEGREES( ACOS( COS(AD$191)  *  COS($AH172)))</f>
        <v>120</v>
      </c>
      <c r="AE172" s="1"/>
      <c r="AF172" s="1"/>
      <c r="AG172" s="182" t="n">
        <v>120</v>
      </c>
      <c r="AH172" s="192" t="n">
        <f aca="false">RADIANS(MOD(AG172-180,-360)+180)</f>
        <v>2.0943951023932</v>
      </c>
      <c r="AI172" s="1"/>
      <c r="AJ172" s="1"/>
      <c r="AK172" s="1"/>
      <c r="AL172" s="1"/>
    </row>
    <row r="173" customFormat="false" ht="12.75" hidden="false" customHeight="true" outlineLevel="0" collapsed="false">
      <c r="A173" s="1"/>
      <c r="B173" s="222" t="s">
        <v>222</v>
      </c>
      <c r="C173" s="1"/>
      <c r="D173" s="214" t="n">
        <f aca="false">DEGREES( ACOS( COS(0.001/12*PI())  *  COS(9/12*PI())))</f>
        <v>134.999998036505</v>
      </c>
      <c r="E173" s="210" t="n">
        <f aca="false">DEGREES( ACOS( COS(1/12*PI())  *  COS(9/12*PI())))</f>
        <v>133.079517141871</v>
      </c>
      <c r="F173" s="210" t="n">
        <f aca="false">DEGREES( ACOS( COS(2/12*PI())  *  COS(9/12*PI())))</f>
        <v>127.761243907035</v>
      </c>
      <c r="G173" s="210" t="n">
        <f aca="false">DEGREES( ACOS( COS(3/12*PI())  *  COS(9/12*PI())))</f>
        <v>120</v>
      </c>
      <c r="H173" s="210" t="n">
        <f aca="false">DEGREES( ACOS( COS(4/12*PI())  *  COS(9/12*PI())))</f>
        <v>110.704811054635</v>
      </c>
      <c r="I173" s="210" t="n">
        <f aca="false">DEGREES( ACOS( COS(5/12*PI())  *  COS(9/12*PI())))</f>
        <v>100.5452905895</v>
      </c>
      <c r="J173" s="214" t="n">
        <f aca="false">DEGREES( ACOS( COS(6/12*PI())  *  COS(9/12*PI())))</f>
        <v>90</v>
      </c>
      <c r="K173" s="210" t="n">
        <f aca="false">DEGREES( ACOS( COS(7/12*PI())  *  COS(9/12*PI())))</f>
        <v>79.4547094105004</v>
      </c>
      <c r="L173" s="210" t="n">
        <f aca="false">DEGREES( ACOS( COS(8/12*PI())  *  COS(9/12*PI())))</f>
        <v>69.2951889453646</v>
      </c>
      <c r="M173" s="210" t="n">
        <f aca="false">DEGREES( ACOS( COS(9/12*PI())  *  COS(9/12*PI())))</f>
        <v>60</v>
      </c>
      <c r="N173" s="210" t="n">
        <f aca="false">DEGREES( ACOS( COS(10/12*PI())  *  COS(9/12*PI())))</f>
        <v>52.238756092965</v>
      </c>
      <c r="O173" s="210" t="n">
        <f aca="false">DEGREES( ACOS( COS(11/12*PI())  *  COS(9/12*PI())))</f>
        <v>46.9204828581291</v>
      </c>
      <c r="P173" s="214" t="n">
        <f aca="false">DEGREES( ACOS( COS(12/12*PI())  *  COS(9/12*PI())))</f>
        <v>45</v>
      </c>
      <c r="Q173" s="210" t="n">
        <f aca="false">DEGREES( ACOS( COS(13/12*PI())  *  COS(9/12*PI())))</f>
        <v>46.9204828581291</v>
      </c>
      <c r="R173" s="210" t="n">
        <f aca="false">DEGREES( ACOS( COS(14/12*PI())  *  COS(9/12*PI())))</f>
        <v>52.238756092965</v>
      </c>
      <c r="S173" s="210" t="n">
        <f aca="false">DEGREES( ACOS( COS(15/12*PI())  *  COS(9/12*PI())))</f>
        <v>60</v>
      </c>
      <c r="T173" s="210" t="n">
        <f aca="false">DEGREES( ACOS( COS(16/12*PI())  *  COS(9/12*PI())))</f>
        <v>69.2951889453646</v>
      </c>
      <c r="U173" s="210" t="n">
        <f aca="false">DEGREES( ACOS( COS(17/12*PI())  *  COS(9/12*PI())))</f>
        <v>79.4547094105005</v>
      </c>
      <c r="V173" s="214" t="n">
        <f aca="false">DEGREES( ACOS( COS(18/12*PI())  *  COS(9/12*PI())))</f>
        <v>90</v>
      </c>
      <c r="W173" s="210" t="n">
        <f aca="false">DEGREES( ACOS( COS(19/12*PI())  *  COS(9/12*PI())))</f>
        <v>100.5452905895</v>
      </c>
      <c r="X173" s="210" t="n">
        <f aca="false">DEGREES( ACOS( COS(20/12*PI())  *  COS(9/12*PI())))</f>
        <v>110.704811054635</v>
      </c>
      <c r="Y173" s="210" t="n">
        <f aca="false">DEGREES( ACOS( COS(21/12*PI())  *  COS(9/12*PI())))</f>
        <v>120</v>
      </c>
      <c r="Z173" s="210" t="n">
        <f aca="false">DEGREES( ACOS( COS(22/12*PI())  *  COS(9/12*PI())))</f>
        <v>127.761243907035</v>
      </c>
      <c r="AA173" s="210" t="n">
        <f aca="false">DEGREES( ACOS( COS(23/12*PI())  *  COS(9/12*PI())))</f>
        <v>133.079517141871</v>
      </c>
      <c r="AB173" s="214" t="n">
        <f aca="false">DEGREES( ACOS( COS(23.999/12*PI())  *  COS(9/12*PI())))</f>
        <v>134.999998036505</v>
      </c>
      <c r="AC173" s="195" t="n">
        <f aca="false">DEGREES( ACOS( COS(AC$191)  *  COS($AH173)))</f>
        <v>135</v>
      </c>
      <c r="AD173" s="195" t="n">
        <f aca="false">DEGREES( ACOS( COS(AD$191)  *  COS($AH173)))</f>
        <v>135</v>
      </c>
      <c r="AE173" s="1"/>
      <c r="AF173" s="1"/>
      <c r="AG173" s="182" t="n">
        <v>135</v>
      </c>
      <c r="AH173" s="192" t="n">
        <f aca="false">RADIANS(MOD(AG173-180,-360)+180)</f>
        <v>2.35619449019234</v>
      </c>
      <c r="AI173" s="1"/>
      <c r="AJ173" s="1"/>
      <c r="AK173" s="1"/>
      <c r="AL173" s="1"/>
    </row>
    <row r="174" customFormat="false" ht="12.75" hidden="false" customHeight="true" outlineLevel="0" collapsed="false">
      <c r="A174" s="1"/>
      <c r="B174" s="222" t="s">
        <v>223</v>
      </c>
      <c r="C174" s="1"/>
      <c r="D174" s="214" t="n">
        <f aca="false">DEGREES( ACOS( COS(0.001/12*PI())  *  COS(10/12*PI())))</f>
        <v>149.999996599126</v>
      </c>
      <c r="E174" s="210" t="n">
        <f aca="false">DEGREES( ACOS( COS(1/12*PI())  *  COS(10/12*PI())))</f>
        <v>146.774057796712</v>
      </c>
      <c r="F174" s="210" t="n">
        <f aca="false">DEGREES( ACOS( COS(2/12*PI())  *  COS(10/12*PI())))</f>
        <v>138.590377890729</v>
      </c>
      <c r="G174" s="210" t="n">
        <f aca="false">DEGREES( ACOS( COS(3/12*PI())  *  COS(10/12*PI())))</f>
        <v>127.761243907035</v>
      </c>
      <c r="H174" s="210" t="n">
        <f aca="false">DEGREES( ACOS( COS(4/12*PI())  *  COS(10/12*PI())))</f>
        <v>115.658906273255</v>
      </c>
      <c r="I174" s="210" t="n">
        <f aca="false">DEGREES( ACOS( COS(5/12*PI())  *  COS(10/12*PI())))</f>
        <v>102.952539642222</v>
      </c>
      <c r="J174" s="214" t="n">
        <f aca="false">DEGREES( ACOS( COS(6/12*PI())  *  COS(10/12*PI())))</f>
        <v>90</v>
      </c>
      <c r="K174" s="210" t="n">
        <f aca="false">DEGREES( ACOS( COS(7/12*PI())  *  COS(10/12*PI())))</f>
        <v>77.0474603577776</v>
      </c>
      <c r="L174" s="210" t="n">
        <f aca="false">DEGREES( ACOS( COS(8/12*PI())  *  COS(10/12*PI())))</f>
        <v>64.3410937267447</v>
      </c>
      <c r="M174" s="210" t="n">
        <f aca="false">DEGREES( ACOS( COS(9/12*PI())  *  COS(10/12*PI())))</f>
        <v>52.238756092965</v>
      </c>
      <c r="N174" s="210" t="n">
        <f aca="false">DEGREES( ACOS( COS(10/12*PI())  *  COS(10/12*PI())))</f>
        <v>41.4096221092709</v>
      </c>
      <c r="O174" s="210" t="n">
        <f aca="false">DEGREES( ACOS( COS(11/12*PI())  *  COS(10/12*PI())))</f>
        <v>33.2259422032876</v>
      </c>
      <c r="P174" s="214" t="n">
        <f aca="false">DEGREES( ACOS( COS(12/12*PI())  *  COS(10/12*PI())))</f>
        <v>30</v>
      </c>
      <c r="Q174" s="210" t="n">
        <f aca="false">DEGREES( ACOS( COS(13/12*PI())  *  COS(10/12*PI())))</f>
        <v>33.2259422032876</v>
      </c>
      <c r="R174" s="210" t="n">
        <f aca="false">DEGREES( ACOS( COS(14/12*PI())  *  COS(10/12*PI())))</f>
        <v>41.4096221092709</v>
      </c>
      <c r="S174" s="210" t="n">
        <f aca="false">DEGREES( ACOS( COS(15/12*PI())  *  COS(10/12*PI())))</f>
        <v>52.238756092965</v>
      </c>
      <c r="T174" s="210" t="n">
        <f aca="false">DEGREES( ACOS( COS(16/12*PI())  *  COS(10/12*PI())))</f>
        <v>64.3410937267447</v>
      </c>
      <c r="U174" s="210" t="n">
        <f aca="false">DEGREES( ACOS( COS(17/12*PI())  *  COS(10/12*PI())))</f>
        <v>77.0474603577776</v>
      </c>
      <c r="V174" s="214" t="n">
        <f aca="false">DEGREES( ACOS( COS(18/12*PI())  *  COS(10/12*PI())))</f>
        <v>90</v>
      </c>
      <c r="W174" s="210" t="n">
        <f aca="false">DEGREES( ACOS( COS(19/12*PI())  *  COS(10/12*PI())))</f>
        <v>102.952539642222</v>
      </c>
      <c r="X174" s="210" t="n">
        <f aca="false">DEGREES( ACOS( COS(20/12*PI())  *  COS(10/12*PI())))</f>
        <v>115.658906273255</v>
      </c>
      <c r="Y174" s="210" t="n">
        <f aca="false">DEGREES( ACOS( COS(21/12*PI())  *  COS(10/12*PI())))</f>
        <v>127.761243907035</v>
      </c>
      <c r="Z174" s="210" t="n">
        <f aca="false">DEGREES( ACOS( COS(22/12*PI())  *  COS(10/12*PI())))</f>
        <v>138.590377890729</v>
      </c>
      <c r="AA174" s="210" t="n">
        <f aca="false">DEGREES( ACOS( COS(23/12*PI())  *  COS(10/12*PI())))</f>
        <v>146.774057796712</v>
      </c>
      <c r="AB174" s="214" t="n">
        <f aca="false">DEGREES( ACOS( COS(23.999/12*PI())  *  COS(10/12*PI())))</f>
        <v>149.999996599126</v>
      </c>
      <c r="AC174" s="195" t="n">
        <f aca="false">DEGREES( ACOS( COS(AC$191)  *  COS($AH174)))</f>
        <v>150</v>
      </c>
      <c r="AD174" s="195" t="n">
        <f aca="false">DEGREES( ACOS( COS(AD$191)  *  COS($AH174)))</f>
        <v>150</v>
      </c>
      <c r="AE174" s="1"/>
      <c r="AF174" s="1"/>
      <c r="AG174" s="182" t="n">
        <v>150</v>
      </c>
      <c r="AH174" s="192" t="n">
        <f aca="false">RADIANS(MOD(AG174-180,-360)+180)</f>
        <v>2.61799387799149</v>
      </c>
      <c r="AI174" s="1"/>
      <c r="AJ174" s="1"/>
      <c r="AK174" s="1"/>
      <c r="AL174" s="1"/>
    </row>
    <row r="175" customFormat="false" ht="12.75" hidden="false" customHeight="true" outlineLevel="0" collapsed="false">
      <c r="A175" s="1"/>
      <c r="B175" s="222" t="s">
        <v>224</v>
      </c>
      <c r="C175" s="1"/>
      <c r="D175" s="214" t="n">
        <f aca="false">DEGREES( ACOS( COS(0.001/12*PI())  *  COS(11/12*PI())))</f>
        <v>164.999992672137</v>
      </c>
      <c r="E175" s="210" t="n">
        <f aca="false">DEGREES( ACOS( COS(1/12*PI())  *  COS(11/12*PI())))</f>
        <v>158.909418821001</v>
      </c>
      <c r="F175" s="210" t="n">
        <f aca="false">DEGREES( ACOS( COS(2/12*PI())  *  COS(11/12*PI())))</f>
        <v>146.774057796712</v>
      </c>
      <c r="G175" s="210" t="n">
        <f aca="false">DEGREES( ACOS( COS(3/12*PI())  *  COS(11/12*PI())))</f>
        <v>133.079517141871</v>
      </c>
      <c r="H175" s="210" t="n">
        <f aca="false">DEGREES( ACOS( COS(4/12*PI())  *  COS(11/12*PI())))</f>
        <v>118.879094017428</v>
      </c>
      <c r="I175" s="210" t="n">
        <f aca="false">DEGREES( ACOS( COS(5/12*PI())  *  COS(11/12*PI())))</f>
        <v>104.47751218593</v>
      </c>
      <c r="J175" s="214" t="n">
        <f aca="false">DEGREES( ACOS( COS(6/12*PI())  *  COS(11/12*PI())))</f>
        <v>90</v>
      </c>
      <c r="K175" s="210" t="n">
        <f aca="false">DEGREES( ACOS( COS(7/12*PI())  *  COS(11/12*PI())))</f>
        <v>75.5224878140701</v>
      </c>
      <c r="L175" s="210" t="n">
        <f aca="false">DEGREES( ACOS( COS(8/12*PI())  *  COS(11/12*PI())))</f>
        <v>61.1209059825724</v>
      </c>
      <c r="M175" s="210" t="n">
        <f aca="false">DEGREES( ACOS( COS(9/12*PI())  *  COS(11/12*PI())))</f>
        <v>46.9204828581291</v>
      </c>
      <c r="N175" s="210" t="n">
        <f aca="false">DEGREES( ACOS( COS(10/12*PI())  *  COS(11/12*PI())))</f>
        <v>33.2259422032876</v>
      </c>
      <c r="O175" s="210" t="n">
        <f aca="false">DEGREES( ACOS( COS(11/12*PI())  *  COS(11/12*PI())))</f>
        <v>21.0905811789991</v>
      </c>
      <c r="P175" s="214" t="n">
        <f aca="false">DEGREES( ACOS( COS(12/12*PI())  *  COS(11/12*PI())))</f>
        <v>15</v>
      </c>
      <c r="Q175" s="210" t="n">
        <f aca="false">DEGREES( ACOS( COS(13/12*PI())  *  COS(11/12*PI())))</f>
        <v>21.0905811789991</v>
      </c>
      <c r="R175" s="210" t="n">
        <f aca="false">DEGREES( ACOS( COS(14/12*PI())  *  COS(11/12*PI())))</f>
        <v>33.2259422032876</v>
      </c>
      <c r="S175" s="210" t="n">
        <f aca="false">DEGREES( ACOS( COS(15/12*PI())  *  COS(11/12*PI())))</f>
        <v>46.9204828581291</v>
      </c>
      <c r="T175" s="210" t="n">
        <f aca="false">DEGREES( ACOS( COS(16/12*PI())  *  COS(11/12*PI())))</f>
        <v>61.1209059825724</v>
      </c>
      <c r="U175" s="210" t="n">
        <f aca="false">DEGREES( ACOS( COS(17/12*PI())  *  COS(11/12*PI())))</f>
        <v>75.5224878140701</v>
      </c>
      <c r="V175" s="214" t="n">
        <f aca="false">DEGREES( ACOS( COS(18/12*PI())  *  COS(11/12*PI())))</f>
        <v>90</v>
      </c>
      <c r="W175" s="210" t="n">
        <f aca="false">DEGREES( ACOS( COS(19/12*PI())  *  COS(11/12*PI())))</f>
        <v>104.47751218593</v>
      </c>
      <c r="X175" s="210" t="n">
        <f aca="false">DEGREES( ACOS( COS(20/12*PI())  *  COS(11/12*PI())))</f>
        <v>118.879094017428</v>
      </c>
      <c r="Y175" s="210" t="n">
        <f aca="false">DEGREES( ACOS( COS(21/12*PI())  *  COS(11/12*PI())))</f>
        <v>133.079517141871</v>
      </c>
      <c r="Z175" s="210" t="n">
        <f aca="false">DEGREES( ACOS( COS(22/12*PI())  *  COS(11/12*PI())))</f>
        <v>146.774057796712</v>
      </c>
      <c r="AA175" s="210" t="n">
        <f aca="false">DEGREES( ACOS( COS(23/12*PI())  *  COS(11/12*PI())))</f>
        <v>158.909418821001</v>
      </c>
      <c r="AB175" s="214" t="n">
        <f aca="false">DEGREES( ACOS( COS(23.999/12*PI())  *  COS(11/12*PI())))</f>
        <v>164.999992672137</v>
      </c>
      <c r="AC175" s="195" t="n">
        <f aca="false">DEGREES( ACOS( COS(AC$191)  *  COS($AH175)))</f>
        <v>165</v>
      </c>
      <c r="AD175" s="195" t="n">
        <f aca="false">DEGREES( ACOS( COS(AD$191)  *  COS($AH175)))</f>
        <v>165</v>
      </c>
      <c r="AE175" s="1"/>
      <c r="AF175" s="1"/>
      <c r="AG175" s="182" t="n">
        <v>165</v>
      </c>
      <c r="AH175" s="192" t="n">
        <f aca="false">RADIANS(MOD(AG175-180,-360)+180)</f>
        <v>2.87979326579064</v>
      </c>
      <c r="AI175" s="1"/>
      <c r="AJ175" s="1"/>
      <c r="AK175" s="1"/>
      <c r="AL175" s="1"/>
    </row>
    <row r="176" customFormat="false" ht="12.75" hidden="false" customHeight="true" outlineLevel="0" collapsed="false">
      <c r="A176" s="1"/>
      <c r="B176" s="222" t="s">
        <v>225</v>
      </c>
      <c r="C176" s="1"/>
      <c r="D176" s="214" t="n">
        <f aca="false">DEGREES( ACOS( COS(0.001/12*PI())  *  COS(12/12*PI())))</f>
        <v>179.985000000008</v>
      </c>
      <c r="E176" s="214" t="n">
        <f aca="false">DEGREES( ACOS( COS(1/12*PI())  *  COS(12/12*PI())))</f>
        <v>165</v>
      </c>
      <c r="F176" s="214" t="n">
        <f aca="false">DEGREES( ACOS( COS(2/12*PI())  *  COS(12/12*PI())))</f>
        <v>150</v>
      </c>
      <c r="G176" s="214" t="n">
        <f aca="false">DEGREES( ACOS( COS(3/12*PI())  *  COS(12/12*PI())))</f>
        <v>135</v>
      </c>
      <c r="H176" s="214" t="n">
        <f aca="false">DEGREES( ACOS( COS(4/12*PI())  *  COS(12/12*PI())))</f>
        <v>120</v>
      </c>
      <c r="I176" s="214" t="n">
        <f aca="false">DEGREES( ACOS( COS(5/12*PI())  *  COS(12/12*PI())))</f>
        <v>105</v>
      </c>
      <c r="J176" s="214" t="n">
        <f aca="false">DEGREES( ACOS( COS(6/12*PI())  *  COS(12/12*PI())))</f>
        <v>90</v>
      </c>
      <c r="K176" s="214" t="n">
        <f aca="false">DEGREES( ACOS( COS(7/12*PI())  *  COS(12/12*PI())))</f>
        <v>75</v>
      </c>
      <c r="L176" s="214" t="n">
        <f aca="false">DEGREES( ACOS( COS(8/12*PI())  *  COS(12/12*PI())))</f>
        <v>60</v>
      </c>
      <c r="M176" s="214" t="n">
        <f aca="false">DEGREES( ACOS( COS(9/12*PI())  *  COS(12/12*PI())))</f>
        <v>45</v>
      </c>
      <c r="N176" s="214" t="n">
        <f aca="false">DEGREES( ACOS( COS(10/12*PI())  *  COS(12/12*PI())))</f>
        <v>30</v>
      </c>
      <c r="O176" s="214" t="n">
        <f aca="false">DEGREES( ACOS( COS(11/12*PI())  *  COS(12/12*PI())))</f>
        <v>15</v>
      </c>
      <c r="P176" s="214" t="n">
        <f aca="false">DEGREES( ACOS( COS(12/12*PI())  *  COS(12/12*PI())))</f>
        <v>0</v>
      </c>
      <c r="Q176" s="214" t="n">
        <f aca="false">DEGREES( ACOS( COS(13/12*PI())  *  COS(12/12*PI())))</f>
        <v>15</v>
      </c>
      <c r="R176" s="214" t="n">
        <f aca="false">DEGREES( ACOS( COS(14/12*PI())  *  COS(12/12*PI())))</f>
        <v>30</v>
      </c>
      <c r="S176" s="214" t="n">
        <f aca="false">DEGREES( ACOS( COS(15/12*PI())  *  COS(12/12*PI())))</f>
        <v>45</v>
      </c>
      <c r="T176" s="214" t="n">
        <f aca="false">DEGREES( ACOS( COS(16/12*PI())  *  COS(12/12*PI())))</f>
        <v>60</v>
      </c>
      <c r="U176" s="214" t="n">
        <f aca="false">DEGREES( ACOS( COS(17/12*PI())  *  COS(12/12*PI())))</f>
        <v>75</v>
      </c>
      <c r="V176" s="214" t="n">
        <f aca="false">DEGREES( ACOS( COS(18/12*PI())  *  COS(12/12*PI())))</f>
        <v>90</v>
      </c>
      <c r="W176" s="214" t="n">
        <f aca="false">DEGREES( ACOS( COS(19/12*PI())  *  COS(12/12*PI())))</f>
        <v>105</v>
      </c>
      <c r="X176" s="214" t="n">
        <f aca="false">DEGREES( ACOS( COS(20/12*PI())  *  COS(12/12*PI())))</f>
        <v>120</v>
      </c>
      <c r="Y176" s="214" t="n">
        <f aca="false">DEGREES( ACOS( COS(21/12*PI())  *  COS(12/12*PI())))</f>
        <v>135</v>
      </c>
      <c r="Z176" s="214" t="n">
        <f aca="false">DEGREES( ACOS( COS(22/12*PI())  *  COS(12/12*PI())))</f>
        <v>150</v>
      </c>
      <c r="AA176" s="214" t="n">
        <f aca="false">DEGREES( ACOS( COS(23/12*PI())  *  COS(12/12*PI())))</f>
        <v>165</v>
      </c>
      <c r="AB176" s="214" t="n">
        <f aca="false">DEGREES( ACOS( COS(23.999/12*PI())  *  COS(12/12*PI())))</f>
        <v>179.985000000008</v>
      </c>
      <c r="AC176" s="195" t="n">
        <f aca="false">DEGREES( ACOS( COS(AC$191)  *  COS($AH176)))</f>
        <v>180</v>
      </c>
      <c r="AD176" s="195" t="n">
        <f aca="false">DEGREES( ACOS( COS(AD$191)  *  COS($AH176)))</f>
        <v>180</v>
      </c>
      <c r="AE176" s="1"/>
      <c r="AF176" s="1"/>
      <c r="AG176" s="182" t="n">
        <v>180</v>
      </c>
      <c r="AH176" s="192" t="n">
        <f aca="false">RADIANS(MOD(AG176-180,-360)+180)</f>
        <v>3.14159265358979</v>
      </c>
      <c r="AI176" s="1"/>
      <c r="AJ176" s="1"/>
      <c r="AK176" s="1"/>
      <c r="AL176" s="1"/>
    </row>
    <row r="177" customFormat="false" ht="12.75" hidden="false" customHeight="true" outlineLevel="0" collapsed="false">
      <c r="A177" s="1"/>
      <c r="B177" s="222" t="s">
        <v>226</v>
      </c>
      <c r="C177" s="1"/>
      <c r="D177" s="214" t="n">
        <f aca="false">DEGREES( ACOS( COS(0.001/12*PI())  *  COS(13/12*PI())))</f>
        <v>164.999992672137</v>
      </c>
      <c r="E177" s="210" t="n">
        <f aca="false">DEGREES( ACOS( COS(1/12*PI())  *  COS(13/12*PI())))</f>
        <v>158.909418821001</v>
      </c>
      <c r="F177" s="210" t="n">
        <f aca="false">DEGREES( ACOS( COS(2/12*PI())  *  COS(13/12*PI())))</f>
        <v>146.774057796712</v>
      </c>
      <c r="G177" s="210" t="n">
        <f aca="false">DEGREES( ACOS( COS(3/12*PI())  *  COS(13/12*PI())))</f>
        <v>133.079517141871</v>
      </c>
      <c r="H177" s="210" t="n">
        <f aca="false">DEGREES( ACOS( COS(4/12*PI())  *  COS(13/12*PI())))</f>
        <v>118.879094017428</v>
      </c>
      <c r="I177" s="210" t="n">
        <f aca="false">DEGREES( ACOS( COS(5/12*PI())  *  COS(13/12*PI())))</f>
        <v>104.47751218593</v>
      </c>
      <c r="J177" s="214" t="n">
        <f aca="false">DEGREES( ACOS( COS(6/12*PI())  *  COS(13/12*PI())))</f>
        <v>90</v>
      </c>
      <c r="K177" s="210" t="n">
        <f aca="false">DEGREES( ACOS( COS(7/12*PI())  *  COS(13/12*PI())))</f>
        <v>75.5224878140701</v>
      </c>
      <c r="L177" s="210" t="n">
        <f aca="false">DEGREES( ACOS( COS(8/12*PI())  *  COS(13/12*PI())))</f>
        <v>61.1209059825724</v>
      </c>
      <c r="M177" s="210" t="n">
        <f aca="false">DEGREES( ACOS( COS(9/12*PI())  *  COS(13/12*PI())))</f>
        <v>46.9204828581291</v>
      </c>
      <c r="N177" s="210" t="n">
        <f aca="false">DEGREES( ACOS( COS(10/12*PI())  *  COS(13/12*PI())))</f>
        <v>33.2259422032876</v>
      </c>
      <c r="O177" s="210" t="n">
        <f aca="false">DEGREES( ACOS( COS(11/12*PI())  *  COS(13/12*PI())))</f>
        <v>21.0905811789991</v>
      </c>
      <c r="P177" s="214" t="n">
        <f aca="false">DEGREES( ACOS( COS(12/12*PI())  *  COS(13/12*PI())))</f>
        <v>15</v>
      </c>
      <c r="Q177" s="210" t="n">
        <f aca="false">DEGREES( ACOS( COS(13/12*PI())  *  COS(13/12*PI())))</f>
        <v>21.0905811789991</v>
      </c>
      <c r="R177" s="210" t="n">
        <f aca="false">DEGREES( ACOS( COS(14/12*PI())  *  COS(13/12*PI())))</f>
        <v>33.2259422032876</v>
      </c>
      <c r="S177" s="210" t="n">
        <f aca="false">DEGREES( ACOS( COS(15/12*PI())  *  COS(13/12*PI())))</f>
        <v>46.9204828581291</v>
      </c>
      <c r="T177" s="210" t="n">
        <f aca="false">DEGREES( ACOS( COS(16/12*PI())  *  COS(13/12*PI())))</f>
        <v>61.1209059825724</v>
      </c>
      <c r="U177" s="210" t="n">
        <f aca="false">DEGREES( ACOS( COS(17/12*PI())  *  COS(13/12*PI())))</f>
        <v>75.5224878140701</v>
      </c>
      <c r="V177" s="214" t="n">
        <f aca="false">DEGREES( ACOS( COS(18/12*PI())  *  COS(13/12*PI())))</f>
        <v>90</v>
      </c>
      <c r="W177" s="210" t="n">
        <f aca="false">DEGREES( ACOS( COS(19/12*PI())  *  COS(13/12*PI())))</f>
        <v>104.47751218593</v>
      </c>
      <c r="X177" s="210" t="n">
        <f aca="false">DEGREES( ACOS( COS(20/12*PI())  *  COS(13/12*PI())))</f>
        <v>118.879094017428</v>
      </c>
      <c r="Y177" s="210" t="n">
        <f aca="false">DEGREES( ACOS( COS(21/12*PI())  *  COS(13/12*PI())))</f>
        <v>133.079517141871</v>
      </c>
      <c r="Z177" s="210" t="n">
        <f aca="false">DEGREES( ACOS( COS(22/12*PI())  *  COS(13/12*PI())))</f>
        <v>146.774057796712</v>
      </c>
      <c r="AA177" s="210" t="n">
        <f aca="false">DEGREES( ACOS( COS(23/12*PI())  *  COS(13/12*PI())))</f>
        <v>158.909418821001</v>
      </c>
      <c r="AB177" s="214" t="n">
        <f aca="false">DEGREES( ACOS( COS(23.999/12*PI())  *  COS(13/12*PI())))</f>
        <v>164.999992672137</v>
      </c>
      <c r="AC177" s="195" t="n">
        <f aca="false">DEGREES( ACOS( COS(AC$191)  *  COS($AH177)))</f>
        <v>165</v>
      </c>
      <c r="AD177" s="195" t="n">
        <f aca="false">DEGREES( ACOS( COS(AD$191)  *  COS($AH177)))</f>
        <v>165</v>
      </c>
      <c r="AE177" s="1"/>
      <c r="AF177" s="1"/>
      <c r="AG177" s="182" t="n">
        <v>195</v>
      </c>
      <c r="AH177" s="193" t="n">
        <f aca="false">RADIANS(MOD(AG177-180,-360)+180)</f>
        <v>-2.87979326579064</v>
      </c>
      <c r="AI177" s="1"/>
      <c r="AJ177" s="1"/>
      <c r="AK177" s="1"/>
      <c r="AL177" s="1"/>
    </row>
    <row r="178" customFormat="false" ht="12.75" hidden="false" customHeight="true" outlineLevel="0" collapsed="false">
      <c r="A178" s="1"/>
      <c r="B178" s="222" t="s">
        <v>227</v>
      </c>
      <c r="C178" s="1"/>
      <c r="D178" s="214" t="n">
        <f aca="false">DEGREES( ACOS( COS(0.001/12*PI())  *  COS(14/12*PI())))</f>
        <v>149.999996599126</v>
      </c>
      <c r="E178" s="210" t="n">
        <f aca="false">DEGREES( ACOS( COS(1/12*PI())  *  COS(14/12*PI())))</f>
        <v>146.774057796712</v>
      </c>
      <c r="F178" s="210" t="n">
        <f aca="false">DEGREES( ACOS( COS(2/12*PI())  *  COS(14/12*PI())))</f>
        <v>138.590377890729</v>
      </c>
      <c r="G178" s="210" t="n">
        <f aca="false">DEGREES( ACOS( COS(3/12*PI())  *  COS(14/12*PI())))</f>
        <v>127.761243907035</v>
      </c>
      <c r="H178" s="210" t="n">
        <f aca="false">DEGREES( ACOS( COS(4/12*PI())  *  COS(14/12*PI())))</f>
        <v>115.658906273255</v>
      </c>
      <c r="I178" s="210" t="n">
        <f aca="false">DEGREES( ACOS( COS(5/12*PI())  *  COS(14/12*PI())))</f>
        <v>102.952539642222</v>
      </c>
      <c r="J178" s="214" t="n">
        <f aca="false">DEGREES( ACOS( COS(6/12*PI())  *  COS(14/12*PI())))</f>
        <v>90</v>
      </c>
      <c r="K178" s="210" t="n">
        <f aca="false">DEGREES( ACOS( COS(7/12*PI())  *  COS(14/12*PI())))</f>
        <v>77.0474603577776</v>
      </c>
      <c r="L178" s="210" t="n">
        <f aca="false">DEGREES( ACOS( COS(8/12*PI())  *  COS(14/12*PI())))</f>
        <v>64.3410937267447</v>
      </c>
      <c r="M178" s="210" t="n">
        <f aca="false">DEGREES( ACOS( COS(9/12*PI())  *  COS(14/12*PI())))</f>
        <v>52.238756092965</v>
      </c>
      <c r="N178" s="210" t="n">
        <f aca="false">DEGREES( ACOS( COS(10/12*PI())  *  COS(14/12*PI())))</f>
        <v>41.4096221092709</v>
      </c>
      <c r="O178" s="210" t="n">
        <f aca="false">DEGREES( ACOS( COS(11/12*PI())  *  COS(14/12*PI())))</f>
        <v>33.2259422032876</v>
      </c>
      <c r="P178" s="214" t="n">
        <f aca="false">DEGREES( ACOS( COS(12/12*PI())  *  COS(14/12*PI())))</f>
        <v>30</v>
      </c>
      <c r="Q178" s="210" t="n">
        <f aca="false">DEGREES( ACOS( COS(13/12*PI())  *  COS(14/12*PI())))</f>
        <v>33.2259422032876</v>
      </c>
      <c r="R178" s="210" t="n">
        <f aca="false">DEGREES( ACOS( COS(14/12*PI())  *  COS(14/12*PI())))</f>
        <v>41.4096221092709</v>
      </c>
      <c r="S178" s="210" t="n">
        <f aca="false">DEGREES( ACOS( COS(15/12*PI())  *  COS(14/12*PI())))</f>
        <v>52.238756092965</v>
      </c>
      <c r="T178" s="210" t="n">
        <f aca="false">DEGREES( ACOS( COS(16/12*PI())  *  COS(14/12*PI())))</f>
        <v>64.3410937267447</v>
      </c>
      <c r="U178" s="210" t="n">
        <f aca="false">DEGREES( ACOS( COS(17/12*PI())  *  COS(14/12*PI())))</f>
        <v>77.0474603577776</v>
      </c>
      <c r="V178" s="214" t="n">
        <f aca="false">DEGREES( ACOS( COS(18/12*PI())  *  COS(14/12*PI())))</f>
        <v>90</v>
      </c>
      <c r="W178" s="210" t="n">
        <f aca="false">DEGREES( ACOS( COS(19/12*PI())  *  COS(14/12*PI())))</f>
        <v>102.952539642222</v>
      </c>
      <c r="X178" s="210" t="n">
        <f aca="false">DEGREES( ACOS( COS(20/12*PI())  *  COS(14/12*PI())))</f>
        <v>115.658906273255</v>
      </c>
      <c r="Y178" s="210" t="n">
        <f aca="false">DEGREES( ACOS( COS(21/12*PI())  *  COS(14/12*PI())))</f>
        <v>127.761243907035</v>
      </c>
      <c r="Z178" s="210" t="n">
        <f aca="false">DEGREES( ACOS( COS(22/12*PI())  *  COS(14/12*PI())))</f>
        <v>138.590377890729</v>
      </c>
      <c r="AA178" s="210" t="n">
        <f aca="false">DEGREES( ACOS( COS(23/12*PI())  *  COS(14/12*PI())))</f>
        <v>146.774057796712</v>
      </c>
      <c r="AB178" s="214" t="n">
        <f aca="false">DEGREES( ACOS( COS(23.999/12*PI())  *  COS(14/12*PI())))</f>
        <v>149.999996599126</v>
      </c>
      <c r="AC178" s="195" t="n">
        <f aca="false">DEGREES( ACOS( COS(AC$191)  *  COS($AH178)))</f>
        <v>150</v>
      </c>
      <c r="AD178" s="195" t="n">
        <f aca="false">DEGREES( ACOS( COS(AD$191)  *  COS($AH178)))</f>
        <v>150</v>
      </c>
      <c r="AE178" s="1"/>
      <c r="AF178" s="1"/>
      <c r="AG178" s="182" t="n">
        <v>210</v>
      </c>
      <c r="AH178" s="193" t="n">
        <f aca="false">RADIANS(MOD(AG178-180,-360)+180)</f>
        <v>-2.61799387799149</v>
      </c>
      <c r="AI178" s="1"/>
      <c r="AJ178" s="1"/>
      <c r="AK178" s="1"/>
      <c r="AL178" s="1"/>
    </row>
    <row r="179" customFormat="false" ht="12.75" hidden="false" customHeight="true" outlineLevel="0" collapsed="false">
      <c r="A179" s="1"/>
      <c r="B179" s="222" t="s">
        <v>228</v>
      </c>
      <c r="C179" s="1"/>
      <c r="D179" s="214" t="n">
        <f aca="false">DEGREES( ACOS( COS(0.001/12*PI())  *  COS(15/12*PI())))</f>
        <v>134.999998036505</v>
      </c>
      <c r="E179" s="210" t="n">
        <f aca="false">DEGREES( ACOS( COS(1/12*PI())  *  COS(15/12*PI())))</f>
        <v>133.079517141871</v>
      </c>
      <c r="F179" s="210" t="n">
        <f aca="false">DEGREES( ACOS( COS(2/12*PI())  *  COS(15/12*PI())))</f>
        <v>127.761243907035</v>
      </c>
      <c r="G179" s="210" t="n">
        <f aca="false">DEGREES( ACOS( COS(3/12*PI())  *  COS(15/12*PI())))</f>
        <v>120</v>
      </c>
      <c r="H179" s="210" t="n">
        <f aca="false">DEGREES( ACOS( COS(4/12*PI())  *  COS(15/12*PI())))</f>
        <v>110.704811054635</v>
      </c>
      <c r="I179" s="210" t="n">
        <f aca="false">DEGREES( ACOS( COS(5/12*PI())  *  COS(15/12*PI())))</f>
        <v>100.5452905895</v>
      </c>
      <c r="J179" s="214" t="n">
        <f aca="false">DEGREES( ACOS( COS(6/12*PI())  *  COS(15/12*PI())))</f>
        <v>90</v>
      </c>
      <c r="K179" s="210" t="n">
        <f aca="false">DEGREES( ACOS( COS(7/12*PI())  *  COS(15/12*PI())))</f>
        <v>79.4547094105004</v>
      </c>
      <c r="L179" s="210" t="n">
        <f aca="false">DEGREES( ACOS( COS(8/12*PI())  *  COS(15/12*PI())))</f>
        <v>69.2951889453646</v>
      </c>
      <c r="M179" s="210" t="n">
        <f aca="false">DEGREES( ACOS( COS(9/12*PI())  *  COS(15/12*PI())))</f>
        <v>60</v>
      </c>
      <c r="N179" s="210" t="n">
        <f aca="false">DEGREES( ACOS( COS(10/12*PI())  *  COS(15/12*PI())))</f>
        <v>52.238756092965</v>
      </c>
      <c r="O179" s="210" t="n">
        <f aca="false">DEGREES( ACOS( COS(11/12*PI())  *  COS(15/12*PI())))</f>
        <v>46.9204828581291</v>
      </c>
      <c r="P179" s="214" t="n">
        <f aca="false">DEGREES( ACOS( COS(12/12*PI())  *  COS(15/12*PI())))</f>
        <v>45</v>
      </c>
      <c r="Q179" s="210" t="n">
        <f aca="false">DEGREES( ACOS( COS(13/12*PI())  *  COS(15/12*PI())))</f>
        <v>46.9204828581291</v>
      </c>
      <c r="R179" s="210" t="n">
        <f aca="false">DEGREES( ACOS( COS(14/12*PI())  *  COS(15/12*PI())))</f>
        <v>52.238756092965</v>
      </c>
      <c r="S179" s="210" t="n">
        <f aca="false">DEGREES( ACOS( COS(15/12*PI())  *  COS(15/12*PI())))</f>
        <v>60</v>
      </c>
      <c r="T179" s="210" t="n">
        <f aca="false">DEGREES( ACOS( COS(16/12*PI())  *  COS(15/12*PI())))</f>
        <v>69.2951889453645</v>
      </c>
      <c r="U179" s="210" t="n">
        <f aca="false">DEGREES( ACOS( COS(17/12*PI())  *  COS(15/12*PI())))</f>
        <v>79.4547094105005</v>
      </c>
      <c r="V179" s="214" t="n">
        <f aca="false">DEGREES( ACOS( COS(18/12*PI())  *  COS(15/12*PI())))</f>
        <v>90</v>
      </c>
      <c r="W179" s="210" t="n">
        <f aca="false">DEGREES( ACOS( COS(19/12*PI())  *  COS(15/12*PI())))</f>
        <v>100.5452905895</v>
      </c>
      <c r="X179" s="210" t="n">
        <f aca="false">DEGREES( ACOS( COS(20/12*PI())  *  COS(15/12*PI())))</f>
        <v>110.704811054635</v>
      </c>
      <c r="Y179" s="210" t="n">
        <f aca="false">DEGREES( ACOS( COS(21/12*PI())  *  COS(15/12*PI())))</f>
        <v>120</v>
      </c>
      <c r="Z179" s="210" t="n">
        <f aca="false">DEGREES( ACOS( COS(22/12*PI())  *  COS(15/12*PI())))</f>
        <v>127.761243907035</v>
      </c>
      <c r="AA179" s="210" t="n">
        <f aca="false">DEGREES( ACOS( COS(23/12*PI())  *  COS(15/12*PI())))</f>
        <v>133.079517141871</v>
      </c>
      <c r="AB179" s="214" t="n">
        <f aca="false">DEGREES( ACOS( COS(23.999/12*PI())  *  COS(15/12*PI())))</f>
        <v>134.999998036505</v>
      </c>
      <c r="AC179" s="195" t="n">
        <f aca="false">DEGREES( ACOS( COS(AC$191)  *  COS($AH179)))</f>
        <v>135</v>
      </c>
      <c r="AD179" s="195" t="n">
        <f aca="false">DEGREES( ACOS( COS(AD$191)  *  COS($AH179)))</f>
        <v>135</v>
      </c>
      <c r="AE179" s="1"/>
      <c r="AF179" s="1"/>
      <c r="AG179" s="182" t="n">
        <v>225</v>
      </c>
      <c r="AH179" s="193" t="n">
        <f aca="false">RADIANS(MOD(AG179-180,-360)+180)</f>
        <v>-2.35619449019234</v>
      </c>
      <c r="AI179" s="1"/>
      <c r="AJ179" s="1"/>
      <c r="AK179" s="1"/>
      <c r="AL179" s="1"/>
    </row>
    <row r="180" customFormat="false" ht="12.75" hidden="false" customHeight="true" outlineLevel="0" collapsed="false">
      <c r="A180" s="1"/>
      <c r="B180" s="222" t="s">
        <v>229</v>
      </c>
      <c r="C180" s="1"/>
      <c r="D180" s="214" t="n">
        <f aca="false">DEGREES( ACOS( COS(0.001/12*PI())  *  COS(16/12*PI())))</f>
        <v>119.999998866375</v>
      </c>
      <c r="E180" s="210" t="n">
        <f aca="false">DEGREES( ACOS( COS(1/12*PI())  *  COS(16/12*PI())))</f>
        <v>118.879094017428</v>
      </c>
      <c r="F180" s="210" t="n">
        <f aca="false">DEGREES( ACOS( COS(2/12*PI())  *  COS(16/12*PI())))</f>
        <v>115.658906273255</v>
      </c>
      <c r="G180" s="210" t="n">
        <f aca="false">DEGREES( ACOS( COS(3/12*PI())  *  COS(16/12*PI())))</f>
        <v>110.704811054635</v>
      </c>
      <c r="H180" s="210" t="n">
        <f aca="false">DEGREES( ACOS( COS(4/12*PI())  *  COS(16/12*PI())))</f>
        <v>104.47751218593</v>
      </c>
      <c r="I180" s="210" t="n">
        <f aca="false">DEGREES( ACOS( COS(5/12*PI())  *  COS(16/12*PI())))</f>
        <v>97.4354722261319</v>
      </c>
      <c r="J180" s="214" t="n">
        <f aca="false">DEGREES( ACOS( COS(6/12*PI())  *  COS(16/12*PI())))</f>
        <v>90</v>
      </c>
      <c r="K180" s="210" t="n">
        <f aca="false">DEGREES( ACOS( COS(7/12*PI())  *  COS(16/12*PI())))</f>
        <v>82.5645277738682</v>
      </c>
      <c r="L180" s="210" t="n">
        <f aca="false">DEGREES( ACOS( COS(8/12*PI())  *  COS(16/12*PI())))</f>
        <v>75.5224878140701</v>
      </c>
      <c r="M180" s="210" t="n">
        <f aca="false">DEGREES( ACOS( COS(9/12*PI())  *  COS(16/12*PI())))</f>
        <v>69.2951889453646</v>
      </c>
      <c r="N180" s="210" t="n">
        <f aca="false">DEGREES( ACOS( COS(10/12*PI())  *  COS(16/12*PI())))</f>
        <v>64.3410937267447</v>
      </c>
      <c r="O180" s="210" t="n">
        <f aca="false">DEGREES( ACOS( COS(11/12*PI())  *  COS(16/12*PI())))</f>
        <v>61.1209059825724</v>
      </c>
      <c r="P180" s="214" t="n">
        <f aca="false">DEGREES( ACOS( COS(12/12*PI())  *  COS(16/12*PI())))</f>
        <v>60</v>
      </c>
      <c r="Q180" s="210" t="n">
        <f aca="false">DEGREES( ACOS( COS(13/12*PI())  *  COS(16/12*PI())))</f>
        <v>61.1209059825724</v>
      </c>
      <c r="R180" s="210" t="n">
        <f aca="false">DEGREES( ACOS( COS(14/12*PI())  *  COS(16/12*PI())))</f>
        <v>64.3410937267447</v>
      </c>
      <c r="S180" s="210" t="n">
        <f aca="false">DEGREES( ACOS( COS(15/12*PI())  *  COS(16/12*PI())))</f>
        <v>69.2951889453645</v>
      </c>
      <c r="T180" s="210" t="n">
        <f aca="false">DEGREES( ACOS( COS(16/12*PI())  *  COS(16/12*PI())))</f>
        <v>75.52248781407</v>
      </c>
      <c r="U180" s="210" t="n">
        <f aca="false">DEGREES( ACOS( COS(17/12*PI())  *  COS(16/12*PI())))</f>
        <v>82.5645277738682</v>
      </c>
      <c r="V180" s="214" t="n">
        <f aca="false">DEGREES( ACOS( COS(18/12*PI())  *  COS(16/12*PI())))</f>
        <v>90</v>
      </c>
      <c r="W180" s="210" t="n">
        <f aca="false">DEGREES( ACOS( COS(19/12*PI())  *  COS(16/12*PI())))</f>
        <v>97.4354722261318</v>
      </c>
      <c r="X180" s="210" t="n">
        <f aca="false">DEGREES( ACOS( COS(20/12*PI())  *  COS(16/12*PI())))</f>
        <v>104.47751218593</v>
      </c>
      <c r="Y180" s="210" t="n">
        <f aca="false">DEGREES( ACOS( COS(21/12*PI())  *  COS(16/12*PI())))</f>
        <v>110.704811054635</v>
      </c>
      <c r="Z180" s="210" t="n">
        <f aca="false">DEGREES( ACOS( COS(22/12*PI())  *  COS(16/12*PI())))</f>
        <v>115.658906273255</v>
      </c>
      <c r="AA180" s="210" t="n">
        <f aca="false">DEGREES( ACOS( COS(23/12*PI())  *  COS(16/12*PI())))</f>
        <v>118.879094017428</v>
      </c>
      <c r="AB180" s="214" t="n">
        <f aca="false">DEGREES( ACOS( COS(23.999/12*PI())  *  COS(16/12*PI())))</f>
        <v>119.999998866375</v>
      </c>
      <c r="AC180" s="195" t="n">
        <f aca="false">DEGREES( ACOS( COS(AC$191)  *  COS($AH180)))</f>
        <v>120</v>
      </c>
      <c r="AD180" s="195" t="n">
        <f aca="false">DEGREES( ACOS( COS(AD$191)  *  COS($AH180)))</f>
        <v>120</v>
      </c>
      <c r="AE180" s="1"/>
      <c r="AF180" s="1"/>
      <c r="AG180" s="182" t="n">
        <v>240</v>
      </c>
      <c r="AH180" s="193" t="n">
        <f aca="false">RADIANS(MOD(AG180-180,-360)+180)</f>
        <v>-2.0943951023932</v>
      </c>
      <c r="AI180" s="1"/>
      <c r="AJ180" s="1"/>
      <c r="AK180" s="1"/>
      <c r="AL180" s="1"/>
    </row>
    <row r="181" customFormat="false" ht="12.75" hidden="false" customHeight="true" outlineLevel="0" collapsed="false">
      <c r="A181" s="1"/>
      <c r="B181" s="222" t="s">
        <v>230</v>
      </c>
      <c r="C181" s="1"/>
      <c r="D181" s="214" t="n">
        <f aca="false">DEGREES( ACOS( COS(0.001/12*PI())  *  COS(17/12*PI())))</f>
        <v>104.999999473883</v>
      </c>
      <c r="E181" s="210" t="n">
        <f aca="false">DEGREES( ACOS( COS(1/12*PI())  *  COS(17/12*PI())))</f>
        <v>104.47751218593</v>
      </c>
      <c r="F181" s="210" t="n">
        <f aca="false">DEGREES( ACOS( COS(2/12*PI())  *  COS(17/12*PI())))</f>
        <v>102.952539642222</v>
      </c>
      <c r="G181" s="210" t="n">
        <f aca="false">DEGREES( ACOS( COS(3/12*PI())  *  COS(17/12*PI())))</f>
        <v>100.5452905895</v>
      </c>
      <c r="H181" s="210" t="n">
        <f aca="false">DEGREES( ACOS( COS(4/12*PI())  *  COS(17/12*PI())))</f>
        <v>97.4354722261319</v>
      </c>
      <c r="I181" s="210" t="n">
        <f aca="false">DEGREES( ACOS( COS(5/12*PI())  *  COS(17/12*PI())))</f>
        <v>93.8409657162582</v>
      </c>
      <c r="J181" s="214" t="n">
        <f aca="false">DEGREES( ACOS( COS(6/12*PI())  *  COS(17/12*PI())))</f>
        <v>90</v>
      </c>
      <c r="K181" s="210" t="n">
        <f aca="false">DEGREES( ACOS( COS(7/12*PI())  *  COS(17/12*PI())))</f>
        <v>86.1590342837419</v>
      </c>
      <c r="L181" s="210" t="n">
        <f aca="false">DEGREES( ACOS( COS(8/12*PI())  *  COS(17/12*PI())))</f>
        <v>82.5645277738682</v>
      </c>
      <c r="M181" s="210" t="n">
        <f aca="false">DEGREES( ACOS( COS(9/12*PI())  *  COS(17/12*PI())))</f>
        <v>79.4547094105005</v>
      </c>
      <c r="N181" s="210" t="n">
        <f aca="false">DEGREES( ACOS( COS(10/12*PI())  *  COS(17/12*PI())))</f>
        <v>77.0474603577776</v>
      </c>
      <c r="O181" s="210" t="n">
        <f aca="false">DEGREES( ACOS( COS(11/12*PI())  *  COS(17/12*PI())))</f>
        <v>75.5224878140701</v>
      </c>
      <c r="P181" s="214" t="n">
        <f aca="false">DEGREES( ACOS( COS(12/12*PI())  *  COS(17/12*PI())))</f>
        <v>75</v>
      </c>
      <c r="Q181" s="210" t="n">
        <f aca="false">DEGREES( ACOS( COS(13/12*PI())  *  COS(17/12*PI())))</f>
        <v>75.5224878140701</v>
      </c>
      <c r="R181" s="210" t="n">
        <f aca="false">DEGREES( ACOS( COS(14/12*PI())  *  COS(17/12*PI())))</f>
        <v>77.0474603577776</v>
      </c>
      <c r="S181" s="210" t="n">
        <f aca="false">DEGREES( ACOS( COS(15/12*PI())  *  COS(17/12*PI())))</f>
        <v>79.4547094105005</v>
      </c>
      <c r="T181" s="210" t="n">
        <f aca="false">DEGREES( ACOS( COS(16/12*PI())  *  COS(17/12*PI())))</f>
        <v>82.5645277738682</v>
      </c>
      <c r="U181" s="210" t="n">
        <f aca="false">DEGREES( ACOS( COS(17/12*PI())  *  COS(17/12*PI())))</f>
        <v>86.1590342837419</v>
      </c>
      <c r="V181" s="214" t="n">
        <f aca="false">DEGREES( ACOS( COS(18/12*PI())  *  COS(17/12*PI())))</f>
        <v>90</v>
      </c>
      <c r="W181" s="210" t="n">
        <f aca="false">DEGREES( ACOS( COS(19/12*PI())  *  COS(17/12*PI())))</f>
        <v>93.8409657162582</v>
      </c>
      <c r="X181" s="210" t="n">
        <f aca="false">DEGREES( ACOS( COS(20/12*PI())  *  COS(17/12*PI())))</f>
        <v>97.4354722261319</v>
      </c>
      <c r="Y181" s="210" t="n">
        <f aca="false">DEGREES( ACOS( COS(21/12*PI())  *  COS(17/12*PI())))</f>
        <v>100.5452905895</v>
      </c>
      <c r="Z181" s="210" t="n">
        <f aca="false">DEGREES( ACOS( COS(22/12*PI())  *  COS(17/12*PI())))</f>
        <v>102.952539642222</v>
      </c>
      <c r="AA181" s="210" t="n">
        <f aca="false">DEGREES( ACOS( COS(23/12*PI())  *  COS(17/12*PI())))</f>
        <v>104.47751218593</v>
      </c>
      <c r="AB181" s="214" t="n">
        <f aca="false">DEGREES( ACOS( COS(23.999/12*PI())  *  COS(17/12*PI())))</f>
        <v>104.999999473883</v>
      </c>
      <c r="AC181" s="195" t="n">
        <f aca="false">DEGREES( ACOS( COS(AC$191)  *  COS($AH181)))</f>
        <v>105</v>
      </c>
      <c r="AD181" s="195" t="n">
        <f aca="false">DEGREES( ACOS( COS(AD$191)  *  COS($AH181)))</f>
        <v>105</v>
      </c>
      <c r="AE181" s="1"/>
      <c r="AF181" s="1"/>
      <c r="AG181" s="182" t="n">
        <v>255</v>
      </c>
      <c r="AH181" s="193" t="n">
        <f aca="false">RADIANS(MOD(AG181-180,-360)+180)</f>
        <v>-1.83259571459405</v>
      </c>
      <c r="AI181" s="1"/>
      <c r="AJ181" s="1"/>
      <c r="AK181" s="1"/>
      <c r="AL181" s="1"/>
    </row>
    <row r="182" customFormat="false" ht="12.75" hidden="false" customHeight="true" outlineLevel="0" collapsed="false">
      <c r="A182" s="1"/>
      <c r="B182" s="222" t="s">
        <v>231</v>
      </c>
      <c r="C182" s="1"/>
      <c r="D182" s="214" t="n">
        <f aca="false">DEGREES( ACOS( COS(0.001/12*PI())  *  COS(18/12*PI())))</f>
        <v>90</v>
      </c>
      <c r="E182" s="214" t="n">
        <f aca="false">DEGREES( ACOS( COS(1/12*PI())  *  COS(18/12*PI())))</f>
        <v>90</v>
      </c>
      <c r="F182" s="214" t="n">
        <f aca="false">DEGREES( ACOS( COS(2/12*PI())  *  COS(18/12*PI())))</f>
        <v>90</v>
      </c>
      <c r="G182" s="214" t="n">
        <f aca="false">DEGREES( ACOS( COS(3/12*PI())  *  COS(18/12*PI())))</f>
        <v>90</v>
      </c>
      <c r="H182" s="214" t="n">
        <f aca="false">DEGREES( ACOS( COS(4/12*PI())  *  COS(18/12*PI())))</f>
        <v>90</v>
      </c>
      <c r="I182" s="214" t="n">
        <f aca="false">DEGREES( ACOS( COS(5/12*PI())  *  COS(18/12*PI())))</f>
        <v>90</v>
      </c>
      <c r="J182" s="214" t="n">
        <f aca="false">DEGREES( ACOS( COS(6/12*PI())  *  COS(18/12*PI())))</f>
        <v>90</v>
      </c>
      <c r="K182" s="214" t="n">
        <f aca="false">DEGREES( ACOS( COS(7/12*PI())  *  COS(18/12*PI())))</f>
        <v>90</v>
      </c>
      <c r="L182" s="214" t="n">
        <f aca="false">DEGREES( ACOS( COS(8/12*PI())  *  COS(18/12*PI())))</f>
        <v>90</v>
      </c>
      <c r="M182" s="214" t="n">
        <f aca="false">DEGREES( ACOS( COS(9/12*PI())  *  COS(18/12*PI())))</f>
        <v>90</v>
      </c>
      <c r="N182" s="214" t="n">
        <f aca="false">DEGREES( ACOS( COS(10/12*PI())  *  COS(18/12*PI())))</f>
        <v>90</v>
      </c>
      <c r="O182" s="214" t="n">
        <f aca="false">DEGREES( ACOS( COS(11/12*PI())  *  COS(18/12*PI())))</f>
        <v>90</v>
      </c>
      <c r="P182" s="214" t="n">
        <f aca="false">DEGREES( ACOS( COS(12/12*PI())  *  COS(18/12*PI())))</f>
        <v>90</v>
      </c>
      <c r="Q182" s="214" t="n">
        <f aca="false">DEGREES( ACOS( COS(13/12*PI())  *  COS(18/12*PI())))</f>
        <v>90</v>
      </c>
      <c r="R182" s="214" t="n">
        <f aca="false">DEGREES( ACOS( COS(14/12*PI())  *  COS(18/12*PI())))</f>
        <v>90</v>
      </c>
      <c r="S182" s="214" t="n">
        <f aca="false">DEGREES( ACOS( COS(15/12*PI())  *  COS(18/12*PI())))</f>
        <v>90</v>
      </c>
      <c r="T182" s="214" t="n">
        <f aca="false">DEGREES( ACOS( COS(16/12*PI())  *  COS(18/12*PI())))</f>
        <v>90</v>
      </c>
      <c r="U182" s="214" t="n">
        <f aca="false">DEGREES( ACOS( COS(17/12*PI())  *  COS(18/12*PI())))</f>
        <v>90</v>
      </c>
      <c r="V182" s="214" t="n">
        <f aca="false">DEGREES( ACOS( COS(18/12*PI())  *  COS(18/12*PI())))</f>
        <v>90</v>
      </c>
      <c r="W182" s="214" t="n">
        <f aca="false">DEGREES( ACOS( COS(19/12*PI())  *  COS(18/12*PI())))</f>
        <v>90</v>
      </c>
      <c r="X182" s="214" t="n">
        <f aca="false">DEGREES( ACOS( COS(20/12*PI())  *  COS(18/12*PI())))</f>
        <v>90</v>
      </c>
      <c r="Y182" s="214" t="n">
        <f aca="false">DEGREES( ACOS( COS(21/12*PI())  *  COS(18/12*PI())))</f>
        <v>90</v>
      </c>
      <c r="Z182" s="214" t="n">
        <f aca="false">DEGREES( ACOS( COS(22/12*PI())  *  COS(18/12*PI())))</f>
        <v>90</v>
      </c>
      <c r="AA182" s="214" t="n">
        <f aca="false">DEGREES( ACOS( COS(23/12*PI())  *  COS(18/12*PI())))</f>
        <v>90</v>
      </c>
      <c r="AB182" s="214" t="n">
        <f aca="false">DEGREES( ACOS( COS(23.999/12*PI())  *  COS(18/12*PI())))</f>
        <v>90</v>
      </c>
      <c r="AC182" s="195" t="n">
        <f aca="false">DEGREES( ACOS( COS(AC$191)  *  COS($AH182)))</f>
        <v>90</v>
      </c>
      <c r="AD182" s="195" t="n">
        <f aca="false">DEGREES( ACOS( COS(AD$191)  *  COS($AH182)))</f>
        <v>90</v>
      </c>
      <c r="AE182" s="1"/>
      <c r="AF182" s="1"/>
      <c r="AG182" s="182" t="n">
        <v>270</v>
      </c>
      <c r="AH182" s="193" t="n">
        <f aca="false">RADIANS(MOD(AG182-180,-360)+180)</f>
        <v>-1.5707963267949</v>
      </c>
      <c r="AI182" s="1"/>
      <c r="AJ182" s="1"/>
      <c r="AK182" s="1"/>
      <c r="AL182" s="1"/>
    </row>
    <row r="183" customFormat="false" ht="12.75" hidden="false" customHeight="true" outlineLevel="0" collapsed="false">
      <c r="A183" s="1"/>
      <c r="B183" s="222" t="s">
        <v>232</v>
      </c>
      <c r="C183" s="1"/>
      <c r="D183" s="214" t="n">
        <f aca="false">DEGREES( ACOS( COS(0.001/12*PI())  *  COS(19/12*PI())))</f>
        <v>75.0000005261171</v>
      </c>
      <c r="E183" s="210" t="n">
        <f aca="false">DEGREES( ACOS( COS(1/12*PI())  *  COS(19/12*PI())))</f>
        <v>75.5224878140701</v>
      </c>
      <c r="F183" s="210" t="n">
        <f aca="false">DEGREES( ACOS( COS(2/12*PI())  *  COS(19/12*PI())))</f>
        <v>77.0474603577777</v>
      </c>
      <c r="G183" s="210" t="n">
        <f aca="false">DEGREES( ACOS( COS(3/12*PI())  *  COS(19/12*PI())))</f>
        <v>79.4547094105005</v>
      </c>
      <c r="H183" s="210" t="n">
        <f aca="false">DEGREES( ACOS( COS(4/12*PI())  *  COS(19/12*PI())))</f>
        <v>82.5645277738682</v>
      </c>
      <c r="I183" s="210" t="n">
        <f aca="false">DEGREES( ACOS( COS(5/12*PI())  *  COS(19/12*PI())))</f>
        <v>86.1590342837419</v>
      </c>
      <c r="J183" s="214" t="n">
        <f aca="false">DEGREES( ACOS( COS(6/12*PI())  *  COS(19/12*PI())))</f>
        <v>90</v>
      </c>
      <c r="K183" s="210" t="n">
        <f aca="false">DEGREES( ACOS( COS(7/12*PI())  *  COS(19/12*PI())))</f>
        <v>93.8409657162582</v>
      </c>
      <c r="L183" s="210" t="n">
        <f aca="false">DEGREES( ACOS( COS(8/12*PI())  *  COS(19/12*PI())))</f>
        <v>97.4354722261318</v>
      </c>
      <c r="M183" s="210" t="n">
        <f aca="false">DEGREES( ACOS( COS(9/12*PI())  *  COS(19/12*PI())))</f>
        <v>100.5452905895</v>
      </c>
      <c r="N183" s="210" t="n">
        <f aca="false">DEGREES( ACOS( COS(10/12*PI())  *  COS(19/12*PI())))</f>
        <v>102.952539642222</v>
      </c>
      <c r="O183" s="210" t="n">
        <f aca="false">DEGREES( ACOS( COS(11/12*PI())  *  COS(19/12*PI())))</f>
        <v>104.47751218593</v>
      </c>
      <c r="P183" s="214" t="n">
        <f aca="false">DEGREES( ACOS( COS(12/12*PI())  *  COS(19/12*PI())))</f>
        <v>105</v>
      </c>
      <c r="Q183" s="210" t="n">
        <f aca="false">DEGREES( ACOS( COS(13/12*PI())  *  COS(19/12*PI())))</f>
        <v>104.47751218593</v>
      </c>
      <c r="R183" s="210" t="n">
        <f aca="false">DEGREES( ACOS( COS(14/12*PI())  *  COS(19/12*PI())))</f>
        <v>102.952539642222</v>
      </c>
      <c r="S183" s="210" t="n">
        <f aca="false">DEGREES( ACOS( COS(15/12*PI())  *  COS(19/12*PI())))</f>
        <v>100.5452905895</v>
      </c>
      <c r="T183" s="210" t="n">
        <f aca="false">DEGREES( ACOS( COS(16/12*PI())  *  COS(19/12*PI())))</f>
        <v>97.4354722261318</v>
      </c>
      <c r="U183" s="210" t="n">
        <f aca="false">DEGREES( ACOS( COS(17/12*PI())  *  COS(19/12*PI())))</f>
        <v>93.8409657162582</v>
      </c>
      <c r="V183" s="214" t="n">
        <f aca="false">DEGREES( ACOS( COS(18/12*PI())  *  COS(19/12*PI())))</f>
        <v>90</v>
      </c>
      <c r="W183" s="210" t="n">
        <f aca="false">DEGREES( ACOS( COS(19/12*PI())  *  COS(19/12*PI())))</f>
        <v>86.1590342837419</v>
      </c>
      <c r="X183" s="210" t="n">
        <f aca="false">DEGREES( ACOS( COS(20/12*PI())  *  COS(19/12*PI())))</f>
        <v>82.5645277738682</v>
      </c>
      <c r="Y183" s="210" t="n">
        <f aca="false">DEGREES( ACOS( COS(21/12*PI())  *  COS(19/12*PI())))</f>
        <v>79.4547094105005</v>
      </c>
      <c r="Z183" s="210" t="n">
        <f aca="false">DEGREES( ACOS( COS(22/12*PI())  *  COS(19/12*PI())))</f>
        <v>77.0474603577777</v>
      </c>
      <c r="AA183" s="210" t="n">
        <f aca="false">DEGREES( ACOS( COS(23/12*PI())  *  COS(19/12*PI())))</f>
        <v>75.5224878140701</v>
      </c>
      <c r="AB183" s="214" t="n">
        <f aca="false">DEGREES( ACOS( COS(23.999/12*PI())  *  COS(19/12*PI())))</f>
        <v>75.0000005261171</v>
      </c>
      <c r="AC183" s="195" t="n">
        <f aca="false">DEGREES( ACOS( COS(AC$191)  *  COS($AH183)))</f>
        <v>75</v>
      </c>
      <c r="AD183" s="195" t="n">
        <f aca="false">DEGREES( ACOS( COS(AD$191)  *  COS($AH183)))</f>
        <v>75</v>
      </c>
      <c r="AE183" s="1"/>
      <c r="AF183" s="1"/>
      <c r="AG183" s="182" t="n">
        <v>285</v>
      </c>
      <c r="AH183" s="193" t="n">
        <f aca="false">RADIANS(MOD(AG183-180,-360)+180)</f>
        <v>-1.30899693899575</v>
      </c>
      <c r="AI183" s="1"/>
      <c r="AJ183" s="1"/>
      <c r="AK183" s="1"/>
      <c r="AL183" s="1"/>
    </row>
    <row r="184" customFormat="false" ht="12.75" hidden="false" customHeight="true" outlineLevel="0" collapsed="false">
      <c r="A184" s="1"/>
      <c r="B184" s="222" t="s">
        <v>233</v>
      </c>
      <c r="C184" s="1"/>
      <c r="D184" s="214" t="n">
        <f aca="false">DEGREES( ACOS( COS(0.001/12*PI())  *  COS(20/12*PI())))</f>
        <v>60.0000011336246</v>
      </c>
      <c r="E184" s="210" t="n">
        <f aca="false">DEGREES( ACOS( COS(1/12*PI())  *  COS(20/12*PI())))</f>
        <v>61.1209059825724</v>
      </c>
      <c r="F184" s="210" t="n">
        <f aca="false">DEGREES( ACOS( COS(2/12*PI())  *  COS(20/12*PI())))</f>
        <v>64.3410937267447</v>
      </c>
      <c r="G184" s="210" t="n">
        <f aca="false">DEGREES( ACOS( COS(3/12*PI())  *  COS(20/12*PI())))</f>
        <v>69.2951889453646</v>
      </c>
      <c r="H184" s="210" t="n">
        <f aca="false">DEGREES( ACOS( COS(4/12*PI())  *  COS(20/12*PI())))</f>
        <v>75.5224878140701</v>
      </c>
      <c r="I184" s="210" t="n">
        <f aca="false">DEGREES( ACOS( COS(5/12*PI())  *  COS(20/12*PI())))</f>
        <v>82.5645277738682</v>
      </c>
      <c r="J184" s="214" t="n">
        <f aca="false">DEGREES( ACOS( COS(6/12*PI())  *  COS(20/12*PI())))</f>
        <v>90</v>
      </c>
      <c r="K184" s="210" t="n">
        <f aca="false">DEGREES( ACOS( COS(7/12*PI())  *  COS(20/12*PI())))</f>
        <v>97.4354722261319</v>
      </c>
      <c r="L184" s="210" t="n">
        <f aca="false">DEGREES( ACOS( COS(8/12*PI())  *  COS(20/12*PI())))</f>
        <v>104.47751218593</v>
      </c>
      <c r="M184" s="210" t="n">
        <f aca="false">DEGREES( ACOS( COS(9/12*PI())  *  COS(20/12*PI())))</f>
        <v>110.704811054635</v>
      </c>
      <c r="N184" s="210" t="n">
        <f aca="false">DEGREES( ACOS( COS(10/12*PI())  *  COS(20/12*PI())))</f>
        <v>115.658906273255</v>
      </c>
      <c r="O184" s="210" t="n">
        <f aca="false">DEGREES( ACOS( COS(11/12*PI())  *  COS(20/12*PI())))</f>
        <v>118.879094017428</v>
      </c>
      <c r="P184" s="214" t="n">
        <f aca="false">DEGREES( ACOS( COS(12/12*PI())  *  COS(20/12*PI())))</f>
        <v>120</v>
      </c>
      <c r="Q184" s="210" t="n">
        <f aca="false">DEGREES( ACOS( COS(13/12*PI())  *  COS(20/12*PI())))</f>
        <v>118.879094017428</v>
      </c>
      <c r="R184" s="210" t="n">
        <f aca="false">DEGREES( ACOS( COS(14/12*PI())  *  COS(20/12*PI())))</f>
        <v>115.658906273255</v>
      </c>
      <c r="S184" s="210" t="n">
        <f aca="false">DEGREES( ACOS( COS(15/12*PI())  *  COS(20/12*PI())))</f>
        <v>110.704811054635</v>
      </c>
      <c r="T184" s="210" t="n">
        <f aca="false">DEGREES( ACOS( COS(16/12*PI())  *  COS(20/12*PI())))</f>
        <v>104.47751218593</v>
      </c>
      <c r="U184" s="210" t="n">
        <f aca="false">DEGREES( ACOS( COS(17/12*PI())  *  COS(20/12*PI())))</f>
        <v>97.4354722261319</v>
      </c>
      <c r="V184" s="214" t="n">
        <f aca="false">DEGREES( ACOS( COS(18/12*PI())  *  COS(20/12*PI())))</f>
        <v>90</v>
      </c>
      <c r="W184" s="210" t="n">
        <f aca="false">DEGREES( ACOS( COS(19/12*PI())  *  COS(20/12*PI())))</f>
        <v>82.5645277738682</v>
      </c>
      <c r="X184" s="210" t="n">
        <f aca="false">DEGREES( ACOS( COS(20/12*PI())  *  COS(20/12*PI())))</f>
        <v>75.5224878140701</v>
      </c>
      <c r="Y184" s="210" t="n">
        <f aca="false">DEGREES( ACOS( COS(21/12*PI())  *  COS(20/12*PI())))</f>
        <v>69.2951889453646</v>
      </c>
      <c r="Z184" s="210" t="n">
        <f aca="false">DEGREES( ACOS( COS(22/12*PI())  *  COS(20/12*PI())))</f>
        <v>64.3410937267447</v>
      </c>
      <c r="AA184" s="210" t="n">
        <f aca="false">DEGREES( ACOS( COS(23/12*PI())  *  COS(20/12*PI())))</f>
        <v>61.1209059825724</v>
      </c>
      <c r="AB184" s="214" t="n">
        <f aca="false">DEGREES( ACOS( COS(23.999/12*PI())  *  COS(20/12*PI())))</f>
        <v>60.0000011336246</v>
      </c>
      <c r="AC184" s="195" t="n">
        <f aca="false">DEGREES( ACOS( COS(AC$191)  *  COS($AH184)))</f>
        <v>60</v>
      </c>
      <c r="AD184" s="195" t="n">
        <f aca="false">DEGREES( ACOS( COS(AD$191)  *  COS($AH184)))</f>
        <v>60</v>
      </c>
      <c r="AE184" s="1"/>
      <c r="AF184" s="1"/>
      <c r="AG184" s="182" t="n">
        <v>300</v>
      </c>
      <c r="AH184" s="193" t="n">
        <f aca="false">RADIANS(MOD(AG184-180,-360)+180)</f>
        <v>-1.0471975511966</v>
      </c>
      <c r="AI184" s="1"/>
      <c r="AJ184" s="1"/>
      <c r="AK184" s="1"/>
      <c r="AL184" s="1"/>
    </row>
    <row r="185" customFormat="false" ht="12.75" hidden="false" customHeight="true" outlineLevel="0" collapsed="false">
      <c r="A185" s="1"/>
      <c r="B185" s="222" t="s">
        <v>234</v>
      </c>
      <c r="C185" s="1"/>
      <c r="D185" s="214" t="n">
        <f aca="false">DEGREES( ACOS( COS(0.001/12*PI())  *  COS(21/12*PI())))</f>
        <v>45.0000019634954</v>
      </c>
      <c r="E185" s="210" t="n">
        <f aca="false">DEGREES( ACOS( COS(1/12*PI())  *  COS(21/12*PI())))</f>
        <v>46.9204828581291</v>
      </c>
      <c r="F185" s="210" t="n">
        <f aca="false">DEGREES( ACOS( COS(2/12*PI())  *  COS(21/12*PI())))</f>
        <v>52.238756092965</v>
      </c>
      <c r="G185" s="210" t="n">
        <f aca="false">DEGREES( ACOS( COS(3/12*PI())  *  COS(21/12*PI())))</f>
        <v>60</v>
      </c>
      <c r="H185" s="210" t="n">
        <f aca="false">DEGREES( ACOS( COS(4/12*PI())  *  COS(21/12*PI())))</f>
        <v>69.2951889453646</v>
      </c>
      <c r="I185" s="210" t="n">
        <f aca="false">DEGREES( ACOS( COS(5/12*PI())  *  COS(21/12*PI())))</f>
        <v>79.4547094105005</v>
      </c>
      <c r="J185" s="214" t="n">
        <f aca="false">DEGREES( ACOS( COS(6/12*PI())  *  COS(21/12*PI())))</f>
        <v>90</v>
      </c>
      <c r="K185" s="210" t="n">
        <f aca="false">DEGREES( ACOS( COS(7/12*PI())  *  COS(21/12*PI())))</f>
        <v>100.5452905895</v>
      </c>
      <c r="L185" s="210" t="n">
        <f aca="false">DEGREES( ACOS( COS(8/12*PI())  *  COS(21/12*PI())))</f>
        <v>110.704811054635</v>
      </c>
      <c r="M185" s="210" t="n">
        <f aca="false">DEGREES( ACOS( COS(9/12*PI())  *  COS(21/12*PI())))</f>
        <v>120</v>
      </c>
      <c r="N185" s="210" t="n">
        <f aca="false">DEGREES( ACOS( COS(10/12*PI())  *  COS(21/12*PI())))</f>
        <v>127.761243907035</v>
      </c>
      <c r="O185" s="210" t="n">
        <f aca="false">DEGREES( ACOS( COS(11/12*PI())  *  COS(21/12*PI())))</f>
        <v>133.079517141871</v>
      </c>
      <c r="P185" s="214" t="n">
        <f aca="false">DEGREES( ACOS( COS(12/12*PI())  *  COS(21/12*PI())))</f>
        <v>135</v>
      </c>
      <c r="Q185" s="210" t="n">
        <f aca="false">DEGREES( ACOS( COS(13/12*PI())  *  COS(21/12*PI())))</f>
        <v>133.079517141871</v>
      </c>
      <c r="R185" s="210" t="n">
        <f aca="false">DEGREES( ACOS( COS(14/12*PI())  *  COS(21/12*PI())))</f>
        <v>127.761243907035</v>
      </c>
      <c r="S185" s="210" t="n">
        <f aca="false">DEGREES( ACOS( COS(15/12*PI())  *  COS(21/12*PI())))</f>
        <v>120</v>
      </c>
      <c r="T185" s="210" t="n">
        <f aca="false">DEGREES( ACOS( COS(16/12*PI())  *  COS(21/12*PI())))</f>
        <v>110.704811054635</v>
      </c>
      <c r="U185" s="210" t="n">
        <f aca="false">DEGREES( ACOS( COS(17/12*PI())  *  COS(21/12*PI())))</f>
        <v>100.5452905895</v>
      </c>
      <c r="V185" s="214" t="n">
        <f aca="false">DEGREES( ACOS( COS(18/12*PI())  *  COS(21/12*PI())))</f>
        <v>90</v>
      </c>
      <c r="W185" s="210" t="n">
        <f aca="false">DEGREES( ACOS( COS(19/12*PI())  *  COS(21/12*PI())))</f>
        <v>79.4547094105005</v>
      </c>
      <c r="X185" s="210" t="n">
        <f aca="false">DEGREES( ACOS( COS(20/12*PI())  *  COS(21/12*PI())))</f>
        <v>69.2951889453646</v>
      </c>
      <c r="Y185" s="210" t="n">
        <f aca="false">DEGREES( ACOS( COS(21/12*PI())  *  COS(21/12*PI())))</f>
        <v>60</v>
      </c>
      <c r="Z185" s="210" t="n">
        <f aca="false">DEGREES( ACOS( COS(22/12*PI())  *  COS(21/12*PI())))</f>
        <v>52.238756092965</v>
      </c>
      <c r="AA185" s="210" t="n">
        <f aca="false">DEGREES( ACOS( COS(23/12*PI())  *  COS(21/12*PI())))</f>
        <v>46.9204828581291</v>
      </c>
      <c r="AB185" s="214" t="n">
        <f aca="false">DEGREES( ACOS( COS(23.999/12*PI())  *  COS(21/12*PI())))</f>
        <v>45.0000019634954</v>
      </c>
      <c r="AC185" s="195" t="n">
        <f aca="false">DEGREES( ACOS( COS(AC$191)  *  COS($AH185)))</f>
        <v>45</v>
      </c>
      <c r="AD185" s="195" t="n">
        <f aca="false">DEGREES( ACOS( COS(AD$191)  *  COS($AH185)))</f>
        <v>45</v>
      </c>
      <c r="AE185" s="1"/>
      <c r="AF185" s="1"/>
      <c r="AG185" s="182" t="n">
        <v>315</v>
      </c>
      <c r="AH185" s="193" t="n">
        <f aca="false">RADIANS(MOD(AG185-180,-360)+180)</f>
        <v>-0.785398163397448</v>
      </c>
      <c r="AI185" s="1"/>
      <c r="AJ185" s="1"/>
      <c r="AK185" s="1"/>
      <c r="AL185" s="1"/>
    </row>
    <row r="186" customFormat="false" ht="12.75" hidden="false" customHeight="true" outlineLevel="0" collapsed="false">
      <c r="A186" s="1"/>
      <c r="B186" s="222" t="s">
        <v>235</v>
      </c>
      <c r="C186" s="1"/>
      <c r="D186" s="214" t="n">
        <f aca="false">DEGREES( ACOS( COS(0.001/12*PI())  *  COS(22/12*PI())))</f>
        <v>30.0000034008737</v>
      </c>
      <c r="E186" s="210" t="n">
        <f aca="false">DEGREES( ACOS( COS(1/12*PI())  *  COS(22/12*PI())))</f>
        <v>33.2259422032876</v>
      </c>
      <c r="F186" s="210" t="n">
        <f aca="false">DEGREES( ACOS( COS(2/12*PI())  *  COS(22/12*PI())))</f>
        <v>41.4096221092709</v>
      </c>
      <c r="G186" s="210" t="n">
        <f aca="false">DEGREES( ACOS( COS(3/12*PI())  *  COS(22/12*PI())))</f>
        <v>52.238756092965</v>
      </c>
      <c r="H186" s="210" t="n">
        <f aca="false">DEGREES( ACOS( COS(4/12*PI())  *  COS(22/12*PI())))</f>
        <v>64.3410937267447</v>
      </c>
      <c r="I186" s="210" t="n">
        <f aca="false">DEGREES( ACOS( COS(5/12*PI())  *  COS(22/12*PI())))</f>
        <v>77.0474603577776</v>
      </c>
      <c r="J186" s="214" t="n">
        <f aca="false">DEGREES( ACOS( COS(6/12*PI())  *  COS(22/12*PI())))</f>
        <v>90</v>
      </c>
      <c r="K186" s="210" t="n">
        <f aca="false">DEGREES( ACOS( COS(7/12*PI())  *  COS(22/12*PI())))</f>
        <v>102.952539642222</v>
      </c>
      <c r="L186" s="210" t="n">
        <f aca="false">DEGREES( ACOS( COS(8/12*PI())  *  COS(22/12*PI())))</f>
        <v>115.658906273255</v>
      </c>
      <c r="M186" s="210" t="n">
        <f aca="false">DEGREES( ACOS( COS(9/12*PI())  *  COS(22/12*PI())))</f>
        <v>127.761243907035</v>
      </c>
      <c r="N186" s="210" t="n">
        <f aca="false">DEGREES( ACOS( COS(10/12*PI())  *  COS(22/12*PI())))</f>
        <v>138.590377890729</v>
      </c>
      <c r="O186" s="210" t="n">
        <f aca="false">DEGREES( ACOS( COS(11/12*PI())  *  COS(22/12*PI())))</f>
        <v>146.774057796712</v>
      </c>
      <c r="P186" s="214" t="n">
        <f aca="false">DEGREES( ACOS( COS(12/12*PI())  *  COS(22/12*PI())))</f>
        <v>150</v>
      </c>
      <c r="Q186" s="210" t="n">
        <f aca="false">DEGREES( ACOS( COS(13/12*PI())  *  COS(22/12*PI())))</f>
        <v>146.774057796712</v>
      </c>
      <c r="R186" s="210" t="n">
        <f aca="false">DEGREES( ACOS( COS(14/12*PI())  *  COS(22/12*PI())))</f>
        <v>138.590377890729</v>
      </c>
      <c r="S186" s="210" t="n">
        <f aca="false">DEGREES( ACOS( COS(15/12*PI())  *  COS(22/12*PI())))</f>
        <v>127.761243907035</v>
      </c>
      <c r="T186" s="210" t="n">
        <f aca="false">DEGREES( ACOS( COS(16/12*PI())  *  COS(22/12*PI())))</f>
        <v>115.658906273255</v>
      </c>
      <c r="U186" s="210" t="n">
        <f aca="false">DEGREES( ACOS( COS(17/12*PI())  *  COS(22/12*PI())))</f>
        <v>102.952539642222</v>
      </c>
      <c r="V186" s="214" t="n">
        <f aca="false">DEGREES( ACOS( COS(18/12*PI())  *  COS(22/12*PI())))</f>
        <v>90</v>
      </c>
      <c r="W186" s="210" t="n">
        <f aca="false">DEGREES( ACOS( COS(19/12*PI())  *  COS(22/12*PI())))</f>
        <v>77.0474603577777</v>
      </c>
      <c r="X186" s="210" t="n">
        <f aca="false">DEGREES( ACOS( COS(20/12*PI())  *  COS(22/12*PI())))</f>
        <v>64.3410937267447</v>
      </c>
      <c r="Y186" s="210" t="n">
        <f aca="false">DEGREES( ACOS( COS(21/12*PI())  *  COS(22/12*PI())))</f>
        <v>52.238756092965</v>
      </c>
      <c r="Z186" s="210" t="n">
        <f aca="false">DEGREES( ACOS( COS(22/12*PI())  *  COS(22/12*PI())))</f>
        <v>41.4096221092709</v>
      </c>
      <c r="AA186" s="210" t="n">
        <f aca="false">DEGREES( ACOS( COS(23/12*PI())  *  COS(22/12*PI())))</f>
        <v>33.2259422032876</v>
      </c>
      <c r="AB186" s="214" t="n">
        <f aca="false">DEGREES( ACOS( COS(23.999/12*PI())  *  COS(22/12*PI())))</f>
        <v>30.0000034008737</v>
      </c>
      <c r="AC186" s="195" t="n">
        <f aca="false">DEGREES( ACOS( COS(AC$191)  *  COS($AH186)))</f>
        <v>30</v>
      </c>
      <c r="AD186" s="195" t="n">
        <f aca="false">DEGREES( ACOS( COS(AD$191)  *  COS($AH186)))</f>
        <v>30</v>
      </c>
      <c r="AE186" s="1"/>
      <c r="AF186" s="1"/>
      <c r="AG186" s="182" t="n">
        <v>330</v>
      </c>
      <c r="AH186" s="193" t="n">
        <f aca="false">RADIANS(MOD(AG186-180,-360)+180)</f>
        <v>-0.523598775598299</v>
      </c>
      <c r="AI186" s="1"/>
      <c r="AJ186" s="1"/>
      <c r="AK186" s="1"/>
      <c r="AL186" s="1"/>
    </row>
    <row r="187" customFormat="false" ht="12.75" hidden="false" customHeight="true" outlineLevel="0" collapsed="false">
      <c r="A187" s="1"/>
      <c r="B187" s="222" t="s">
        <v>236</v>
      </c>
      <c r="C187" s="1"/>
      <c r="D187" s="214" t="n">
        <f aca="false">DEGREES( ACOS( COS(0.001/12*PI())  *  COS(23/12*PI())))</f>
        <v>15.0000073278628</v>
      </c>
      <c r="E187" s="210" t="n">
        <f aca="false">DEGREES( ACOS( COS(1/12*PI())  *  COS(23/12*PI())))</f>
        <v>21.0905811789991</v>
      </c>
      <c r="F187" s="210" t="n">
        <f aca="false">DEGREES( ACOS( COS(2/12*PI())  *  COS(23/12*PI())))</f>
        <v>33.2259422032876</v>
      </c>
      <c r="G187" s="210" t="n">
        <f aca="false">DEGREES( ACOS( COS(3/12*PI())  *  COS(23/12*PI())))</f>
        <v>46.9204828581291</v>
      </c>
      <c r="H187" s="210" t="n">
        <f aca="false">DEGREES( ACOS( COS(4/12*PI())  *  COS(23/12*PI())))</f>
        <v>61.1209059825724</v>
      </c>
      <c r="I187" s="210" t="n">
        <f aca="false">DEGREES( ACOS( COS(5/12*PI())  *  COS(23/12*PI())))</f>
        <v>75.5224878140701</v>
      </c>
      <c r="J187" s="214" t="n">
        <f aca="false">DEGREES( ACOS( COS(6/12*PI())  *  COS(23/12*PI())))</f>
        <v>90</v>
      </c>
      <c r="K187" s="210" t="n">
        <f aca="false">DEGREES( ACOS( COS(7/12*PI())  *  COS(23/12*PI())))</f>
        <v>104.47751218593</v>
      </c>
      <c r="L187" s="210" t="n">
        <f aca="false">DEGREES( ACOS( COS(8/12*PI())  *  COS(23/12*PI())))</f>
        <v>118.879094017428</v>
      </c>
      <c r="M187" s="210" t="n">
        <f aca="false">DEGREES( ACOS( COS(9/12*PI())  *  COS(23/12*PI())))</f>
        <v>133.079517141871</v>
      </c>
      <c r="N187" s="210" t="n">
        <f aca="false">DEGREES( ACOS( COS(10/12*PI())  *  COS(23/12*PI())))</f>
        <v>146.774057796712</v>
      </c>
      <c r="O187" s="210" t="n">
        <f aca="false">DEGREES( ACOS( COS(11/12*PI())  *  COS(23/12*PI())))</f>
        <v>158.909418821001</v>
      </c>
      <c r="P187" s="214" t="n">
        <f aca="false">DEGREES( ACOS( COS(12/12*PI())  *  COS(23/12*PI())))</f>
        <v>165</v>
      </c>
      <c r="Q187" s="210" t="n">
        <f aca="false">DEGREES( ACOS( COS(13/12*PI())  *  COS(23/12*PI())))</f>
        <v>158.909418821001</v>
      </c>
      <c r="R187" s="210" t="n">
        <f aca="false">DEGREES( ACOS( COS(14/12*PI())  *  COS(23/12*PI())))</f>
        <v>146.774057796712</v>
      </c>
      <c r="S187" s="210" t="n">
        <f aca="false">DEGREES( ACOS( COS(15/12*PI())  *  COS(23/12*PI())))</f>
        <v>133.079517141871</v>
      </c>
      <c r="T187" s="210" t="n">
        <f aca="false">DEGREES( ACOS( COS(16/12*PI())  *  COS(23/12*PI())))</f>
        <v>118.879094017428</v>
      </c>
      <c r="U187" s="210" t="n">
        <f aca="false">DEGREES( ACOS( COS(17/12*PI())  *  COS(23/12*PI())))</f>
        <v>104.47751218593</v>
      </c>
      <c r="V187" s="214" t="n">
        <f aca="false">DEGREES( ACOS( COS(18/12*PI())  *  COS(23/12*PI())))</f>
        <v>90</v>
      </c>
      <c r="W187" s="210" t="n">
        <f aca="false">DEGREES( ACOS( COS(19/12*PI())  *  COS(23/12*PI())))</f>
        <v>75.5224878140701</v>
      </c>
      <c r="X187" s="210" t="n">
        <f aca="false">DEGREES( ACOS( COS(20/12*PI())  *  COS(23/12*PI())))</f>
        <v>61.1209059825724</v>
      </c>
      <c r="Y187" s="210" t="n">
        <f aca="false">DEGREES( ACOS( COS(21/12*PI())  *  COS(23/12*PI())))</f>
        <v>46.9204828581291</v>
      </c>
      <c r="Z187" s="210" t="n">
        <f aca="false">DEGREES( ACOS( COS(22/12*PI())  *  COS(23/12*PI())))</f>
        <v>33.2259422032876</v>
      </c>
      <c r="AA187" s="210" t="n">
        <f aca="false">DEGREES( ACOS( COS(23/12*PI())  *  COS(23/12*PI())))</f>
        <v>21.0905811789991</v>
      </c>
      <c r="AB187" s="214" t="n">
        <f aca="false">DEGREES( ACOS( COS(23.999/12*PI())  *  COS(23/12*PI())))</f>
        <v>15.0000073278628</v>
      </c>
      <c r="AC187" s="195" t="n">
        <f aca="false">DEGREES( ACOS( COS(AC$191)  *  COS($AH187)))</f>
        <v>15</v>
      </c>
      <c r="AD187" s="195" t="n">
        <f aca="false">DEGREES( ACOS( COS(AD$191)  *  COS($AH187)))</f>
        <v>15</v>
      </c>
      <c r="AE187" s="1"/>
      <c r="AF187" s="1"/>
      <c r="AG187" s="182" t="n">
        <v>345</v>
      </c>
      <c r="AH187" s="193" t="n">
        <f aca="false">RADIANS(MOD(AG187-180,-360)+180)</f>
        <v>-0.261799387799149</v>
      </c>
      <c r="AI187" s="1"/>
      <c r="AJ187" s="1"/>
      <c r="AK187" s="1"/>
      <c r="AL187" s="1"/>
    </row>
    <row r="188" customFormat="false" ht="12.75" hidden="false" customHeight="true" outlineLevel="0" collapsed="false">
      <c r="A188" s="1"/>
      <c r="B188" s="222" t="s">
        <v>237</v>
      </c>
      <c r="C188" s="1"/>
      <c r="D188" s="214" t="n">
        <f aca="false">DEGREES( ACOS( COS(0.001/12*PI())  *  COS(23.999/12*PI())))</f>
        <v>0.0212132032954528</v>
      </c>
      <c r="E188" s="214" t="n">
        <f aca="false">DEGREES( ACOS( COS(1/12*PI())  *  COS(23.999/12*PI())))</f>
        <v>15.0000073278628</v>
      </c>
      <c r="F188" s="214" t="n">
        <f aca="false">DEGREES( ACOS( COS(2/12*PI())  *  COS(23.999/12*PI())))</f>
        <v>30.0000034008736</v>
      </c>
      <c r="G188" s="214" t="n">
        <f aca="false">DEGREES( ACOS( COS(3/12*PI())  *  COS(23.999/12*PI())))</f>
        <v>45.0000019634954</v>
      </c>
      <c r="H188" s="214" t="n">
        <f aca="false">DEGREES( ACOS( COS(4/12*PI())  *  COS(23.999/12*PI())))</f>
        <v>60.0000011336246</v>
      </c>
      <c r="I188" s="214" t="n">
        <f aca="false">DEGREES( ACOS( COS(5/12*PI())  *  COS(23.999/12*PI())))</f>
        <v>75.000000526117</v>
      </c>
      <c r="J188" s="214" t="n">
        <f aca="false">DEGREES( ACOS( COS(6/12*PI())  *  COS(23.999/12*PI())))</f>
        <v>90</v>
      </c>
      <c r="K188" s="214" t="n">
        <f aca="false">DEGREES( ACOS( COS(7/12*PI())  *  COS(23.999/12*PI())))</f>
        <v>104.999999473883</v>
      </c>
      <c r="L188" s="214" t="n">
        <f aca="false">DEGREES( ACOS( COS(8/12*PI())  *  COS(23.999/12*PI())))</f>
        <v>119.999998866375</v>
      </c>
      <c r="M188" s="214" t="n">
        <f aca="false">DEGREES( ACOS( COS(9/12*PI())  *  COS(23.999/12*PI())))</f>
        <v>134.999998036505</v>
      </c>
      <c r="N188" s="214" t="n">
        <f aca="false">DEGREES( ACOS( COS(10/12*PI())  *  COS(23.999/12*PI())))</f>
        <v>149.999996599126</v>
      </c>
      <c r="O188" s="214" t="n">
        <f aca="false">DEGREES( ACOS( COS(11/12*PI())  *  COS(23.999/12*PI())))</f>
        <v>164.999992672137</v>
      </c>
      <c r="P188" s="214" t="n">
        <f aca="false">DEGREES( ACOS( COS(12/12*PI())  *  COS(23.999/12*PI())))</f>
        <v>179.985000000008</v>
      </c>
      <c r="Q188" s="214" t="n">
        <f aca="false">DEGREES( ACOS( COS(13/12*PI())  *  COS(23.999/12*PI())))</f>
        <v>164.999992672137</v>
      </c>
      <c r="R188" s="214" t="n">
        <f aca="false">DEGREES( ACOS( COS(14/12*PI())  *  COS(23.999/12*PI())))</f>
        <v>149.999996599126</v>
      </c>
      <c r="S188" s="214" t="n">
        <f aca="false">DEGREES( ACOS( COS(15/12*PI())  *  COS(23.999/12*PI())))</f>
        <v>134.999998036505</v>
      </c>
      <c r="T188" s="214" t="n">
        <f aca="false">DEGREES( ACOS( COS(16/12*PI())  *  COS(23.999/12*PI())))</f>
        <v>119.999998866375</v>
      </c>
      <c r="U188" s="214" t="n">
        <f aca="false">DEGREES( ACOS( COS(17/12*PI())  *  COS(23.999/12*PI())))</f>
        <v>104.999999473883</v>
      </c>
      <c r="V188" s="214" t="n">
        <f aca="false">DEGREES( ACOS( COS(18/12*PI())  *  COS(23.999/12*PI())))</f>
        <v>90</v>
      </c>
      <c r="W188" s="214" t="n">
        <f aca="false">DEGREES( ACOS( COS(19/12*PI())  *  COS(23.999/12*PI())))</f>
        <v>75.0000005261171</v>
      </c>
      <c r="X188" s="214" t="n">
        <f aca="false">DEGREES( ACOS( COS(20/12*PI())  *  COS(23.999/12*PI())))</f>
        <v>60.0000011336246</v>
      </c>
      <c r="Y188" s="214" t="n">
        <f aca="false">DEGREES( ACOS( COS(21/12*PI())  *  COS(23.999/12*PI())))</f>
        <v>45.0000019634954</v>
      </c>
      <c r="Z188" s="214" t="n">
        <f aca="false">DEGREES( ACOS( COS(22/12*PI())  *  COS(23.999/12*PI())))</f>
        <v>30.0000034008737</v>
      </c>
      <c r="AA188" s="214" t="n">
        <f aca="false">DEGREES( ACOS( COS(23/12*PI())  *  COS(23.999/12*PI())))</f>
        <v>15.0000073278628</v>
      </c>
      <c r="AB188" s="214" t="n">
        <f aca="false">DEGREES( ACOS( COS(23.999/12*PI())  *  COS(23.999/12*PI())))</f>
        <v>0.0212132032954528</v>
      </c>
      <c r="AC188" s="195" t="n">
        <f aca="false">DEGREES( ACOS( COS(AC$191)  *  COS($AH188)))</f>
        <v>0.00999999998265327</v>
      </c>
      <c r="AD188" s="195" t="n">
        <f aca="false">DEGREES( ACOS( COS(AD$191)  *  COS($AH188)))</f>
        <v>0.00999999998265327</v>
      </c>
      <c r="AE188" s="1"/>
      <c r="AF188" s="1"/>
      <c r="AG188" s="198" t="n">
        <v>359.99</v>
      </c>
      <c r="AH188" s="193" t="n">
        <f aca="false">RADIANS(MOD(AG188-180,-360)+180)</f>
        <v>-0.000174532925199274</v>
      </c>
      <c r="AI188" s="1"/>
      <c r="AJ188" s="1"/>
      <c r="AK188" s="1"/>
      <c r="AL188" s="1"/>
    </row>
    <row r="189" customFormat="false" ht="12.75" hidden="false" customHeight="true" outlineLevel="0" collapsed="false">
      <c r="A189" s="1"/>
      <c r="B189" s="1"/>
      <c r="C189" s="1"/>
      <c r="D189" s="195" t="n">
        <f aca="false">DEGREES( ACOS( COS(D$191)  *  COS($AH189)))</f>
        <v>0.0010000000370999</v>
      </c>
      <c r="E189" s="195" t="n">
        <f aca="false">DEGREES( ACOS( COS(E$191)  *  COS($AH189)))</f>
        <v>15</v>
      </c>
      <c r="F189" s="195" t="n">
        <f aca="false">DEGREES( ACOS( COS(F$191)  *  COS($AH189)))</f>
        <v>30</v>
      </c>
      <c r="G189" s="195" t="n">
        <f aca="false">DEGREES( ACOS( COS(G$191)  *  COS($AH189)))</f>
        <v>45</v>
      </c>
      <c r="H189" s="195" t="n">
        <f aca="false">DEGREES( ACOS( COS(H$191)  *  COS($AH189)))</f>
        <v>60</v>
      </c>
      <c r="I189" s="195" t="n">
        <f aca="false">DEGREES( ACOS( COS(I$191)  *  COS($AH189)))</f>
        <v>75</v>
      </c>
      <c r="J189" s="195" t="n">
        <f aca="false">DEGREES( ACOS( COS(J$191)  *  COS($AH189)))</f>
        <v>90</v>
      </c>
      <c r="K189" s="195" t="n">
        <f aca="false">DEGREES( ACOS( COS(K$191)  *  COS($AH189)))</f>
        <v>105</v>
      </c>
      <c r="L189" s="195" t="n">
        <f aca="false">DEGREES( ACOS( COS(L$191)  *  COS($AH189)))</f>
        <v>120</v>
      </c>
      <c r="M189" s="195" t="n">
        <f aca="false">DEGREES( ACOS( COS(M$191)  *  COS($AH189)))</f>
        <v>135</v>
      </c>
      <c r="N189" s="195" t="n">
        <f aca="false">DEGREES( ACOS( COS(N$191)  *  COS($AH189)))</f>
        <v>150</v>
      </c>
      <c r="O189" s="195" t="n">
        <f aca="false">DEGREES( ACOS( COS(O$191)  *  COS($AH189)))</f>
        <v>165</v>
      </c>
      <c r="P189" s="195" t="n">
        <f aca="false">DEGREES( ACOS( COS(P$191)  *  COS($AH189)))</f>
        <v>180</v>
      </c>
      <c r="Q189" s="195" t="n">
        <f aca="false">DEGREES( ACOS( COS(Q$191)  *  COS($AH189)))</f>
        <v>165</v>
      </c>
      <c r="R189" s="195" t="n">
        <f aca="false">DEGREES( ACOS( COS(R$191)  *  COS($AH189)))</f>
        <v>150</v>
      </c>
      <c r="S189" s="195" t="n">
        <f aca="false">DEGREES( ACOS( COS(S$191)  *  COS($AH189)))</f>
        <v>135</v>
      </c>
      <c r="T189" s="195" t="n">
        <f aca="false">DEGREES( ACOS( COS(T$191)  *  COS($AH189)))</f>
        <v>120</v>
      </c>
      <c r="U189" s="195" t="n">
        <f aca="false">DEGREES( ACOS( COS(U$191)  *  COS($AH189)))</f>
        <v>105</v>
      </c>
      <c r="V189" s="195" t="n">
        <f aca="false">DEGREES( ACOS( COS(V$191)  *  COS($AH189)))</f>
        <v>90</v>
      </c>
      <c r="W189" s="195" t="n">
        <f aca="false">DEGREES( ACOS( COS(W$191)  *  COS($AH189)))</f>
        <v>75</v>
      </c>
      <c r="X189" s="195" t="n">
        <f aca="false">DEGREES( ACOS( COS(X$191)  *  COS($AH189)))</f>
        <v>60</v>
      </c>
      <c r="Y189" s="195" t="n">
        <f aca="false">DEGREES( ACOS( COS(Y$191)  *  COS($AH189)))</f>
        <v>45</v>
      </c>
      <c r="Z189" s="195" t="n">
        <f aca="false">DEGREES( ACOS( COS(Z$191)  *  COS($AH189)))</f>
        <v>30</v>
      </c>
      <c r="AA189" s="195" t="n">
        <f aca="false">DEGREES( ACOS( COS(AA$191)  *  COS($AH189)))</f>
        <v>15</v>
      </c>
      <c r="AB189" s="195" t="n">
        <f aca="false">DEGREES( ACOS( COS(AB$191)  *  COS($AH189)))</f>
        <v>0.00999999998265327</v>
      </c>
      <c r="AC189" s="195" t="n">
        <f aca="false">DEGREES( ACOS( COS(AC$191)  *  COS($AH189)))</f>
        <v>0</v>
      </c>
      <c r="AD189" s="195" t="n">
        <f aca="false">DEGREES( ACOS( COS(AD$191)  *  COS($AH189)))</f>
        <v>0</v>
      </c>
      <c r="AE189" s="1"/>
      <c r="AF189" s="1"/>
      <c r="AG189" s="184" t="n">
        <v>360</v>
      </c>
      <c r="AH189" s="192" t="n">
        <f aca="false">RADIANS(MOD(AG189-180,-360)+180)</f>
        <v>0</v>
      </c>
      <c r="AI189" s="1"/>
      <c r="AJ189" s="1"/>
      <c r="AK189" s="1"/>
      <c r="AL189" s="1"/>
    </row>
    <row r="190" customFormat="false" ht="12.75" hidden="false" customHeight="true" outlineLevel="0" collapsed="false">
      <c r="A190" s="1"/>
      <c r="B190" s="1"/>
      <c r="C190" s="1"/>
      <c r="D190" s="195" t="n">
        <f aca="false">DEGREES( ACOS( COS(D$191)  *  COS($AH190)))</f>
        <v>0.0010000000370999</v>
      </c>
      <c r="E190" s="195" t="n">
        <f aca="false">DEGREES( ACOS( COS(E$191)  *  COS($AH190)))</f>
        <v>15</v>
      </c>
      <c r="F190" s="195" t="n">
        <f aca="false">DEGREES( ACOS( COS(F$191)  *  COS($AH190)))</f>
        <v>30</v>
      </c>
      <c r="G190" s="195" t="n">
        <f aca="false">DEGREES( ACOS( COS(G$191)  *  COS($AH190)))</f>
        <v>45</v>
      </c>
      <c r="H190" s="195" t="n">
        <f aca="false">DEGREES( ACOS( COS(H$191)  *  COS($AH190)))</f>
        <v>60</v>
      </c>
      <c r="I190" s="195" t="n">
        <f aca="false">DEGREES( ACOS( COS(I$191)  *  COS($AH190)))</f>
        <v>75</v>
      </c>
      <c r="J190" s="195" t="n">
        <f aca="false">DEGREES( ACOS( COS(J$191)  *  COS($AH190)))</f>
        <v>90</v>
      </c>
      <c r="K190" s="195" t="n">
        <f aca="false">DEGREES( ACOS( COS(K$191)  *  COS($AH190)))</f>
        <v>105</v>
      </c>
      <c r="L190" s="195" t="n">
        <f aca="false">DEGREES( ACOS( COS(L$191)  *  COS($AH190)))</f>
        <v>120</v>
      </c>
      <c r="M190" s="195" t="n">
        <f aca="false">DEGREES( ACOS( COS(M$191)  *  COS($AH190)))</f>
        <v>135</v>
      </c>
      <c r="N190" s="195" t="n">
        <f aca="false">DEGREES( ACOS( COS(N$191)  *  COS($AH190)))</f>
        <v>150</v>
      </c>
      <c r="O190" s="195" t="n">
        <f aca="false">DEGREES( ACOS( COS(O$191)  *  COS($AH190)))</f>
        <v>165</v>
      </c>
      <c r="P190" s="195" t="n">
        <f aca="false">DEGREES( ACOS( COS(P$191)  *  COS($AH190)))</f>
        <v>180</v>
      </c>
      <c r="Q190" s="195" t="n">
        <f aca="false">DEGREES( ACOS( COS(Q$191)  *  COS($AH190)))</f>
        <v>165</v>
      </c>
      <c r="R190" s="195" t="n">
        <f aca="false">DEGREES( ACOS( COS(R$191)  *  COS($AH190)))</f>
        <v>150</v>
      </c>
      <c r="S190" s="195" t="n">
        <f aca="false">DEGREES( ACOS( COS(S$191)  *  COS($AH190)))</f>
        <v>135</v>
      </c>
      <c r="T190" s="195" t="n">
        <f aca="false">DEGREES( ACOS( COS(T$191)  *  COS($AH190)))</f>
        <v>120</v>
      </c>
      <c r="U190" s="195" t="n">
        <f aca="false">DEGREES( ACOS( COS(U$191)  *  COS($AH190)))</f>
        <v>105</v>
      </c>
      <c r="V190" s="195" t="n">
        <f aca="false">DEGREES( ACOS( COS(V$191)  *  COS($AH190)))</f>
        <v>90</v>
      </c>
      <c r="W190" s="195" t="n">
        <f aca="false">DEGREES( ACOS( COS(W$191)  *  COS($AH190)))</f>
        <v>75</v>
      </c>
      <c r="X190" s="195" t="n">
        <f aca="false">DEGREES( ACOS( COS(X$191)  *  COS($AH190)))</f>
        <v>60</v>
      </c>
      <c r="Y190" s="195" t="n">
        <f aca="false">DEGREES( ACOS( COS(Y$191)  *  COS($AH190)))</f>
        <v>45</v>
      </c>
      <c r="Z190" s="195" t="n">
        <f aca="false">DEGREES( ACOS( COS(Z$191)  *  COS($AH190)))</f>
        <v>30</v>
      </c>
      <c r="AA190" s="195" t="n">
        <f aca="false">DEGREES( ACOS( COS(AA$191)  *  COS($AH190)))</f>
        <v>15</v>
      </c>
      <c r="AB190" s="195" t="n">
        <f aca="false">DEGREES( ACOS( COS(AB$191)  *  COS($AH190)))</f>
        <v>0.00999999998265327</v>
      </c>
      <c r="AC190" s="195" t="n">
        <f aca="false">DEGREES( ACOS( COS(AC$191)  *  COS($AH190)))</f>
        <v>0</v>
      </c>
      <c r="AD190" s="195" t="n">
        <f aca="false">DEGREES( ACOS( COS(AD$191)  *  COS($AH190)))</f>
        <v>0</v>
      </c>
      <c r="AE190" s="1"/>
      <c r="AF190" s="1"/>
      <c r="AG190" s="184" t="n">
        <v>0</v>
      </c>
      <c r="AH190" s="192" t="n">
        <f aca="false">RADIANS(MOD(AG190-180,-360)+180)</f>
        <v>0</v>
      </c>
      <c r="AI190" s="1"/>
      <c r="AJ190" s="1"/>
      <c r="AK190" s="1"/>
      <c r="AL190" s="1"/>
    </row>
    <row r="191" customFormat="false" ht="12.75" hidden="false" customHeight="true" outlineLevel="0" collapsed="false">
      <c r="A191" s="1"/>
      <c r="B191" s="1"/>
      <c r="C191" s="1"/>
      <c r="D191" s="192" t="n">
        <f aca="false">RADIANS(MOD(D163-180,-360)+180)</f>
        <v>1.74532925200266E-005</v>
      </c>
      <c r="E191" s="192" t="n">
        <f aca="false">RADIANS(MOD(E163-180,-360)+180)</f>
        <v>0.261799387799149</v>
      </c>
      <c r="F191" s="192" t="n">
        <f aca="false">RADIANS(MOD(F163-180,-360)+180)</f>
        <v>0.523598775598299</v>
      </c>
      <c r="G191" s="192" t="n">
        <f aca="false">RADIANS(MOD(G163-180,-360)+180)</f>
        <v>0.785398163397448</v>
      </c>
      <c r="H191" s="192" t="n">
        <f aca="false">RADIANS(MOD(H163-180,-360)+180)</f>
        <v>1.0471975511966</v>
      </c>
      <c r="I191" s="192" t="n">
        <f aca="false">RADIANS(MOD(I163-180,-360)+180)</f>
        <v>1.30899693899575</v>
      </c>
      <c r="J191" s="192" t="n">
        <f aca="false">RADIANS(MOD(J163-180,-360)+180)</f>
        <v>1.5707963267949</v>
      </c>
      <c r="K191" s="192" t="n">
        <f aca="false">RADIANS(MOD(K163-180,-360)+180)</f>
        <v>1.83259571459405</v>
      </c>
      <c r="L191" s="192" t="n">
        <f aca="false">RADIANS(MOD(L163-180,-360)+180)</f>
        <v>2.0943951023932</v>
      </c>
      <c r="M191" s="192" t="n">
        <f aca="false">RADIANS(MOD(M163-180,-360)+180)</f>
        <v>2.35619449019234</v>
      </c>
      <c r="N191" s="192" t="n">
        <f aca="false">RADIANS(MOD(N163-180,-360)+180)</f>
        <v>2.61799387799149</v>
      </c>
      <c r="O191" s="192" t="n">
        <f aca="false">RADIANS(MOD(O163-180,-360)+180)</f>
        <v>2.87979326579064</v>
      </c>
      <c r="P191" s="192" t="n">
        <f aca="false">RADIANS(MOD(P163-180,-360)+180)</f>
        <v>3.14159265358979</v>
      </c>
      <c r="Q191" s="193" t="n">
        <f aca="false">RADIANS(MOD(Q163-180,-360)+180)</f>
        <v>-2.87979326579064</v>
      </c>
      <c r="R191" s="193" t="n">
        <f aca="false">RADIANS(MOD(R163-180,-360)+180)</f>
        <v>-2.61799387799149</v>
      </c>
      <c r="S191" s="193" t="n">
        <f aca="false">RADIANS(MOD(S163-180,-360)+180)</f>
        <v>-2.35619449019234</v>
      </c>
      <c r="T191" s="193" t="n">
        <f aca="false">RADIANS(MOD(T163-180,-360)+180)</f>
        <v>-2.0943951023932</v>
      </c>
      <c r="U191" s="193" t="n">
        <f aca="false">RADIANS(MOD(U163-180,-360)+180)</f>
        <v>-1.83259571459405</v>
      </c>
      <c r="V191" s="193" t="n">
        <f aca="false">RADIANS(MOD(V163-180,-360)+180)</f>
        <v>-1.5707963267949</v>
      </c>
      <c r="W191" s="193" t="n">
        <f aca="false">RADIANS(MOD(W163-180,-360)+180)</f>
        <v>-1.30899693899575</v>
      </c>
      <c r="X191" s="193" t="n">
        <f aca="false">RADIANS(MOD(X163-180,-360)+180)</f>
        <v>-1.0471975511966</v>
      </c>
      <c r="Y191" s="193" t="n">
        <f aca="false">RADIANS(MOD(Y163-180,-360)+180)</f>
        <v>-0.785398163397448</v>
      </c>
      <c r="Z191" s="193" t="n">
        <f aca="false">RADIANS(MOD(Z163-180,-360)+180)</f>
        <v>-0.523598775598299</v>
      </c>
      <c r="AA191" s="193" t="n">
        <f aca="false">RADIANS(MOD(AA163-180,-360)+180)</f>
        <v>-0.261799387799149</v>
      </c>
      <c r="AB191" s="193" t="n">
        <f aca="false">RADIANS(MOD(AB163-180,-360)+180)</f>
        <v>-0.000174532925199274</v>
      </c>
      <c r="AC191" s="193" t="n">
        <f aca="false">RADIANS(MOD(AC162-180,-360)+180)</f>
        <v>0</v>
      </c>
      <c r="AD191" s="193" t="n">
        <f aca="false">RADIANS(MOD(AD162-180,-360)+180)</f>
        <v>0</v>
      </c>
      <c r="AE191" s="1"/>
      <c r="AF191" s="1"/>
      <c r="AG191" s="1"/>
      <c r="AH191" s="1"/>
      <c r="AI191" s="1"/>
      <c r="AJ191" s="1"/>
      <c r="AK191" s="1"/>
      <c r="AL191" s="1"/>
    </row>
    <row r="192" customFormat="false" ht="12.75" hidden="false" customHeight="tru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customFormat="false" ht="12.75" hidden="false" customHeight="true" outlineLevel="0" collapsed="false">
      <c r="A193" s="163"/>
      <c r="B193" s="1"/>
      <c r="C193" s="163"/>
      <c r="D193" s="1"/>
      <c r="E193" s="1"/>
      <c r="F193" s="1"/>
      <c r="G193" s="1"/>
      <c r="H193" s="53"/>
      <c r="I193" s="5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customFormat="false" ht="12.75" hidden="false" customHeight="true" outlineLevel="0" collapsed="false">
      <c r="A194" s="163"/>
      <c r="B194" s="1"/>
      <c r="C194" s="163"/>
      <c r="D194" s="1"/>
      <c r="E194" s="1"/>
      <c r="F194" s="1"/>
      <c r="G194" s="1"/>
      <c r="H194" s="53"/>
      <c r="I194" s="5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customFormat="false" ht="12.75" hidden="false" customHeight="true" outlineLevel="0" collapsed="false">
      <c r="A195" s="163"/>
      <c r="B195" s="1"/>
      <c r="C195" s="163"/>
      <c r="D195" s="1"/>
      <c r="E195" s="1"/>
      <c r="F195" s="1"/>
      <c r="G195" s="1"/>
      <c r="H195" s="53"/>
      <c r="I195" s="5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customFormat="false" ht="12.75" hidden="false" customHeight="true" outlineLevel="0" collapsed="false">
      <c r="A196" s="163"/>
      <c r="B196" s="1"/>
      <c r="C196" s="163"/>
      <c r="D196" s="1"/>
      <c r="E196" s="1"/>
      <c r="F196" s="1"/>
      <c r="G196" s="1"/>
      <c r="H196" s="53"/>
      <c r="I196" s="5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customFormat="false" ht="12.75" hidden="false" customHeight="true" outlineLevel="0" collapsed="false">
      <c r="A197" s="163"/>
      <c r="B197" s="1"/>
      <c r="C197" s="163"/>
      <c r="D197" s="1"/>
      <c r="E197" s="1"/>
      <c r="F197" s="1"/>
      <c r="G197" s="1"/>
      <c r="H197" s="53"/>
      <c r="I197" s="5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customFormat="false" ht="12.75" hidden="false" customHeight="true" outlineLevel="0" collapsed="false">
      <c r="A198" s="163"/>
      <c r="B198" s="1"/>
      <c r="C198" s="163"/>
      <c r="D198" s="1"/>
      <c r="E198" s="1"/>
      <c r="F198" s="1"/>
      <c r="G198" s="1"/>
      <c r="H198" s="53"/>
      <c r="I198" s="5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customFormat="false" ht="12.75" hidden="false" customHeight="true" outlineLevel="0" collapsed="false">
      <c r="A199" s="163"/>
      <c r="B199" s="1"/>
      <c r="C199" s="163"/>
      <c r="D199" s="1"/>
      <c r="E199" s="1"/>
      <c r="F199" s="1"/>
      <c r="G199" s="1"/>
      <c r="H199" s="53"/>
      <c r="I199" s="5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customFormat="false" ht="12.75" hidden="false" customHeight="true" outlineLevel="0" collapsed="false">
      <c r="A200" s="163"/>
      <c r="B200" s="1"/>
      <c r="C200" s="163"/>
      <c r="D200" s="1"/>
      <c r="E200" s="1"/>
      <c r="F200" s="1"/>
      <c r="G200" s="1"/>
      <c r="H200" s="53"/>
      <c r="I200" s="5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customFormat="false" ht="12.75" hidden="false" customHeight="true" outlineLevel="0" collapsed="false">
      <c r="A201" s="163"/>
      <c r="B201" s="1"/>
      <c r="C201" s="163"/>
      <c r="D201" s="1"/>
      <c r="E201" s="1"/>
      <c r="F201" s="1"/>
      <c r="G201" s="1"/>
      <c r="H201" s="53"/>
      <c r="I201" s="5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customFormat="false" ht="12.75" hidden="false" customHeight="true" outlineLevel="0" collapsed="false">
      <c r="A202" s="72"/>
      <c r="B202" s="1"/>
      <c r="C202" s="1"/>
      <c r="D202" s="1"/>
      <c r="E202" s="1"/>
      <c r="F202" s="1"/>
      <c r="G202" s="1"/>
      <c r="H202" s="1"/>
      <c r="I202" s="53"/>
      <c r="J202" s="1"/>
      <c r="K202" s="1"/>
      <c r="L202" s="1"/>
      <c r="M202" s="1"/>
      <c r="N202" s="53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customFormat="false" ht="12.75" hidden="false" customHeight="true" outlineLevel="0" collapsed="false">
      <c r="A203" s="1"/>
      <c r="B203" s="1"/>
      <c r="C203" s="1"/>
      <c r="D203" s="1"/>
      <c r="E203" s="1"/>
      <c r="F203" s="1"/>
      <c r="G203" s="164"/>
      <c r="H203" s="36"/>
      <c r="I203" s="5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customFormat="false" ht="23.8" hidden="false" customHeight="true" outlineLevel="0" collapsed="false">
      <c r="A204" s="1"/>
      <c r="B204" s="165" t="s">
        <v>238</v>
      </c>
      <c r="C204" s="166" t="s">
        <v>239</v>
      </c>
      <c r="D204" s="167"/>
      <c r="E204" s="169"/>
      <c r="F204" s="223" t="s">
        <v>240</v>
      </c>
      <c r="G204" s="113"/>
      <c r="H204" s="113"/>
      <c r="I204" s="113"/>
      <c r="J204" s="117"/>
      <c r="K204" s="113" t="s">
        <v>241</v>
      </c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customFormat="false" ht="23.8" hidden="false" customHeight="true" outlineLevel="0" collapsed="false">
      <c r="A205" s="1"/>
      <c r="B205" s="1"/>
      <c r="C205" s="170"/>
      <c r="D205" s="170"/>
      <c r="E205" s="170"/>
      <c r="F205" s="171"/>
      <c r="G205" s="171"/>
      <c r="H205" s="171"/>
      <c r="I205" s="171"/>
      <c r="J205" s="171"/>
      <c r="K205" s="171"/>
      <c r="L205" s="170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customFormat="false" ht="23.8" hidden="false" customHeight="true" outlineLevel="0" collapsed="false">
      <c r="A206" s="172" t="s">
        <v>163</v>
      </c>
      <c r="B206" s="1"/>
      <c r="C206" s="173"/>
      <c r="D206" s="170"/>
      <c r="E206" s="174" t="s">
        <v>164</v>
      </c>
      <c r="F206" s="171"/>
      <c r="G206" s="171"/>
      <c r="H206" s="175" t="s">
        <v>165</v>
      </c>
      <c r="I206" s="171"/>
      <c r="J206" s="171"/>
      <c r="K206" s="170"/>
      <c r="L206" s="170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customFormat="false" ht="23.8" hidden="false" customHeight="true" outlineLevel="0" collapsed="false">
      <c r="A207" s="172" t="s">
        <v>166</v>
      </c>
      <c r="B207" s="1"/>
      <c r="C207" s="173"/>
      <c r="D207" s="173"/>
      <c r="E207" s="170"/>
      <c r="F207" s="171"/>
      <c r="G207" s="176"/>
      <c r="H207" s="170"/>
      <c r="I207" s="170"/>
      <c r="J207" s="170"/>
      <c r="K207" s="170"/>
      <c r="L207" s="170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customFormat="false" ht="23.8" hidden="false" customHeight="true" outlineLevel="0" collapsed="false">
      <c r="A208" s="1"/>
      <c r="B208" s="1"/>
      <c r="C208" s="170"/>
      <c r="D208" s="173"/>
      <c r="E208" s="177"/>
      <c r="F208" s="177" t="s">
        <v>242</v>
      </c>
      <c r="G208" s="170"/>
      <c r="H208" s="170"/>
      <c r="I208" s="170"/>
      <c r="J208" s="170"/>
      <c r="K208" s="170"/>
      <c r="L208" s="170"/>
      <c r="M208" s="1"/>
      <c r="N208" s="179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customFormat="false" ht="23.8" hidden="false" customHeight="true" outlineLevel="0" collapsed="false">
      <c r="A209" s="1"/>
      <c r="B209" s="1"/>
      <c r="C209" s="170"/>
      <c r="D209" s="170"/>
      <c r="E209" s="170"/>
      <c r="F209" s="170"/>
      <c r="G209" s="170"/>
      <c r="H209" s="170"/>
      <c r="I209" s="170"/>
      <c r="J209" s="170"/>
      <c r="K209" s="170"/>
      <c r="L209" s="170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customFormat="false" ht="23.8" hidden="false" customHeight="true" outlineLevel="0" collapsed="false">
      <c r="A210" s="1"/>
      <c r="B210" s="1"/>
      <c r="C210" s="170"/>
      <c r="D210" s="173"/>
      <c r="E210" s="170"/>
      <c r="F210" s="170"/>
      <c r="G210" s="170"/>
      <c r="H210" s="170"/>
      <c r="I210" s="170"/>
      <c r="J210" s="170"/>
      <c r="K210" s="170"/>
      <c r="L210" s="170"/>
      <c r="M210" s="1"/>
      <c r="N210" s="18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customFormat="false" ht="19.3" hidden="false" customHeight="true" outlineLevel="0" collapsed="false">
      <c r="A211" s="1"/>
      <c r="B211" s="1"/>
      <c r="C211" s="1"/>
      <c r="D211" s="1"/>
      <c r="E211" s="131"/>
      <c r="F211" s="131"/>
      <c r="G211" s="131"/>
      <c r="H211" s="131"/>
      <c r="I211" s="1"/>
      <c r="J211" s="1"/>
      <c r="K211" s="1"/>
      <c r="L211" s="1"/>
      <c r="M211" s="1"/>
      <c r="N211" s="1"/>
      <c r="O211" s="1"/>
      <c r="P211" s="1"/>
      <c r="Q211" s="182" t="n">
        <v>195</v>
      </c>
      <c r="R211" s="182" t="n">
        <v>210</v>
      </c>
      <c r="S211" s="182" t="n">
        <v>225</v>
      </c>
      <c r="T211" s="182" t="n">
        <v>240</v>
      </c>
      <c r="U211" s="182" t="n">
        <v>255</v>
      </c>
      <c r="V211" s="182" t="n">
        <v>270</v>
      </c>
      <c r="W211" s="182" t="n">
        <v>285</v>
      </c>
      <c r="X211" s="182" t="n">
        <v>300</v>
      </c>
      <c r="Y211" s="182" t="n">
        <v>315</v>
      </c>
      <c r="Z211" s="182" t="n">
        <v>330</v>
      </c>
      <c r="AA211" s="182" t="n">
        <v>345</v>
      </c>
      <c r="AB211" s="183" t="n">
        <v>359.99</v>
      </c>
      <c r="AC211" s="184" t="n">
        <v>360</v>
      </c>
      <c r="AD211" s="185" t="s">
        <v>169</v>
      </c>
      <c r="AE211" s="1"/>
      <c r="AF211" s="1"/>
      <c r="AG211" s="1"/>
      <c r="AH211" s="1"/>
      <c r="AI211" s="1"/>
      <c r="AJ211" s="1"/>
      <c r="AK211" s="1"/>
      <c r="AL211" s="1"/>
    </row>
    <row r="212" customFormat="false" ht="19.3" hidden="false" customHeight="true" outlineLevel="0" collapsed="false">
      <c r="A212" s="1"/>
      <c r="B212" s="186"/>
      <c r="C212" s="187" t="s">
        <v>171</v>
      </c>
      <c r="D212" s="188" t="n">
        <v>0.001</v>
      </c>
      <c r="E212" s="182" t="n">
        <v>15</v>
      </c>
      <c r="F212" s="182" t="n">
        <v>30</v>
      </c>
      <c r="G212" s="182" t="n">
        <v>45</v>
      </c>
      <c r="H212" s="182" t="n">
        <v>60</v>
      </c>
      <c r="I212" s="182" t="n">
        <v>75</v>
      </c>
      <c r="J212" s="182" t="n">
        <v>90</v>
      </c>
      <c r="K212" s="182" t="n">
        <v>105</v>
      </c>
      <c r="L212" s="182" t="n">
        <v>120</v>
      </c>
      <c r="M212" s="182" t="n">
        <v>135</v>
      </c>
      <c r="N212" s="182" t="n">
        <v>150</v>
      </c>
      <c r="O212" s="182" t="n">
        <v>165</v>
      </c>
      <c r="P212" s="182" t="n">
        <v>180</v>
      </c>
      <c r="Q212" s="189" t="n">
        <v>-165</v>
      </c>
      <c r="R212" s="189" t="n">
        <v>-150</v>
      </c>
      <c r="S212" s="189" t="n">
        <v>-135</v>
      </c>
      <c r="T212" s="189" t="n">
        <v>-120</v>
      </c>
      <c r="U212" s="189" t="n">
        <v>-105</v>
      </c>
      <c r="V212" s="189" t="n">
        <v>-90</v>
      </c>
      <c r="W212" s="189" t="n">
        <v>-75</v>
      </c>
      <c r="X212" s="189" t="n">
        <v>-60</v>
      </c>
      <c r="Y212" s="189" t="n">
        <v>-45</v>
      </c>
      <c r="Z212" s="189" t="n">
        <v>-30</v>
      </c>
      <c r="AA212" s="189" t="n">
        <v>-15</v>
      </c>
      <c r="AB212" s="183" t="n">
        <v>-0.01</v>
      </c>
      <c r="AC212" s="184" t="n">
        <v>0</v>
      </c>
      <c r="AD212" s="184" t="n">
        <v>0</v>
      </c>
      <c r="AE212" s="1"/>
      <c r="AF212" s="1"/>
      <c r="AG212" s="1"/>
      <c r="AH212" s="1"/>
      <c r="AI212" s="1"/>
      <c r="AJ212" s="1"/>
      <c r="AK212" s="1"/>
      <c r="AL212" s="1"/>
    </row>
    <row r="213" customFormat="false" ht="19.3" hidden="false" customHeight="true" outlineLevel="0" collapsed="false">
      <c r="A213" s="190"/>
      <c r="B213" s="191" t="s">
        <v>173</v>
      </c>
      <c r="C213" s="1"/>
      <c r="D213" s="192" t="n">
        <f aca="false">RADIANS(MOD(D212-180,-360)+180)</f>
        <v>1.74532925200266E-005</v>
      </c>
      <c r="E213" s="192" t="n">
        <f aca="false">RADIANS(MOD(E212-180,-360)+180)</f>
        <v>0.261799387799149</v>
      </c>
      <c r="F213" s="192" t="n">
        <f aca="false">RADIANS(MOD(F212-180,-360)+180)</f>
        <v>0.523598775598299</v>
      </c>
      <c r="G213" s="192" t="n">
        <f aca="false">RADIANS(MOD(G212-180,-360)+180)</f>
        <v>0.785398163397448</v>
      </c>
      <c r="H213" s="192" t="n">
        <f aca="false">RADIANS(MOD(H212-180,-360)+180)</f>
        <v>1.0471975511966</v>
      </c>
      <c r="I213" s="192" t="n">
        <f aca="false">RADIANS(MOD(I212-180,-360)+180)</f>
        <v>1.30899693899575</v>
      </c>
      <c r="J213" s="192" t="n">
        <f aca="false">RADIANS(MOD(J212-180,-360)+180)</f>
        <v>1.5707963267949</v>
      </c>
      <c r="K213" s="192" t="n">
        <f aca="false">RADIANS(MOD(K212-180,-360)+180)</f>
        <v>1.83259571459405</v>
      </c>
      <c r="L213" s="192" t="n">
        <f aca="false">RADIANS(MOD(L212-180,-360)+180)</f>
        <v>2.0943951023932</v>
      </c>
      <c r="M213" s="192" t="n">
        <f aca="false">RADIANS(MOD(M212-180,-360)+180)</f>
        <v>2.35619449019234</v>
      </c>
      <c r="N213" s="192" t="n">
        <f aca="false">RADIANS(MOD(N212-180,-360)+180)</f>
        <v>2.61799387799149</v>
      </c>
      <c r="O213" s="192" t="n">
        <f aca="false">RADIANS(MOD(O212-180,-360)+180)</f>
        <v>2.87979326579064</v>
      </c>
      <c r="P213" s="192" t="n">
        <f aca="false">RADIANS(MOD(P212-180,-360)+180)</f>
        <v>3.14159265358979</v>
      </c>
      <c r="Q213" s="193" t="n">
        <f aca="false">RADIANS(MOD(Q212-180,-360)+180)</f>
        <v>-2.87979326579064</v>
      </c>
      <c r="R213" s="193" t="n">
        <f aca="false">RADIANS(MOD(R212-180,-360)+180)</f>
        <v>-2.61799387799149</v>
      </c>
      <c r="S213" s="193" t="n">
        <f aca="false">RADIANS(MOD(S212-180,-360)+180)</f>
        <v>-2.35619449019234</v>
      </c>
      <c r="T213" s="193" t="n">
        <f aca="false">RADIANS(MOD(T212-180,-360)+180)</f>
        <v>-2.0943951023932</v>
      </c>
      <c r="U213" s="193" t="n">
        <f aca="false">RADIANS(MOD(U212-180,-360)+180)</f>
        <v>-1.83259571459405</v>
      </c>
      <c r="V213" s="193" t="n">
        <f aca="false">RADIANS(MOD(V212-180,-360)+180)</f>
        <v>-1.5707963267949</v>
      </c>
      <c r="W213" s="193" t="n">
        <f aca="false">RADIANS(MOD(W212-180,-360)+180)</f>
        <v>-1.30899693899575</v>
      </c>
      <c r="X213" s="193" t="n">
        <f aca="false">RADIANS(MOD(X212-180,-360)+180)</f>
        <v>-1.0471975511966</v>
      </c>
      <c r="Y213" s="193" t="n">
        <f aca="false">RADIANS(MOD(Y212-180,-360)+180)</f>
        <v>-0.785398163397448</v>
      </c>
      <c r="Z213" s="193" t="n">
        <f aca="false">RADIANS(MOD(Z212-180,-360)+180)</f>
        <v>-0.523598775598299</v>
      </c>
      <c r="AA213" s="193" t="n">
        <f aca="false">RADIANS(MOD(AA212-180,-360)+180)</f>
        <v>-0.261799387799149</v>
      </c>
      <c r="AB213" s="193" t="n">
        <f aca="false">RADIANS(MOD(AB212-180,-360)+180)</f>
        <v>-0.000174532925199274</v>
      </c>
      <c r="AC213" s="193" t="n">
        <f aca="false">RADIANS(MOD(AC212-180,-360)+180)</f>
        <v>0</v>
      </c>
      <c r="AD213" s="193" t="n">
        <f aca="false">RADIANS(MOD(AD212-180,-360)+180)</f>
        <v>0</v>
      </c>
      <c r="AE213" s="1"/>
      <c r="AF213" s="1"/>
      <c r="AG213" s="1"/>
      <c r="AH213" s="1"/>
      <c r="AI213" s="1"/>
      <c r="AJ213" s="1"/>
      <c r="AK213" s="1"/>
      <c r="AL213" s="1"/>
    </row>
    <row r="214" customFormat="false" ht="12.75" hidden="false" customHeight="true" outlineLevel="0" collapsed="false">
      <c r="A214" s="192" t="n">
        <f aca="false">RADIANS(MOD(B214-180,-360)+180)</f>
        <v>1.74532925200266E-005</v>
      </c>
      <c r="B214" s="188" t="n">
        <v>0.001</v>
      </c>
      <c r="C214" s="1"/>
      <c r="D214" s="214" t="n">
        <f aca="false">DEGREES( ACOS( COS(D$213)  *  COS($A214)))</f>
        <v>0.00141421361485823</v>
      </c>
      <c r="E214" s="214" t="n">
        <f aca="false">DEGREES( ACOS( COS(E$213)  *  COS($A214)))</f>
        <v>15.0000000325683</v>
      </c>
      <c r="F214" s="214" t="n">
        <f aca="false">DEGREES( ACOS( COS(F$213)  *  COS($A214)))</f>
        <v>30.000000015115</v>
      </c>
      <c r="G214" s="214" t="n">
        <f aca="false">DEGREES( ACOS( COS(G$213)  *  COS($A214)))</f>
        <v>45.0000000087267</v>
      </c>
      <c r="H214" s="214" t="n">
        <f aca="false">DEGREES( ACOS( COS(H$213)  *  COS($A214)))</f>
        <v>60.0000000050383</v>
      </c>
      <c r="I214" s="214" t="n">
        <f aca="false">DEGREES( ACOS( COS(I$213)  *  COS($A214)))</f>
        <v>75.0000000023383</v>
      </c>
      <c r="J214" s="214" t="n">
        <f aca="false">DEGREES( ACOS( COS(J$213)  *  COS($A214)))</f>
        <v>90</v>
      </c>
      <c r="K214" s="214" t="n">
        <f aca="false">DEGREES( ACOS( COS(K$213)  *  COS($A214)))</f>
        <v>104.999999997662</v>
      </c>
      <c r="L214" s="214" t="n">
        <f aca="false">DEGREES( ACOS( COS(L$213)  *  COS($A214)))</f>
        <v>119.999999994962</v>
      </c>
      <c r="M214" s="214" t="n">
        <f aca="false">DEGREES( ACOS( COS(M$213)  *  COS($A214)))</f>
        <v>134.999999991273</v>
      </c>
      <c r="N214" s="214" t="n">
        <f aca="false">DEGREES( ACOS( COS(N$213)  *  COS($A214)))</f>
        <v>149.999999984885</v>
      </c>
      <c r="O214" s="214" t="n">
        <f aca="false">DEGREES( ACOS( COS(O$213)  *  COS($A214)))</f>
        <v>164.999999967432</v>
      </c>
      <c r="P214" s="214" t="n">
        <f aca="false">DEGREES( ACOS( COS(P$213)  *  COS($A214)))</f>
        <v>179.998999999963</v>
      </c>
      <c r="Q214" s="214" t="n">
        <f aca="false">DEGREES( ACOS( COS(Q$213)  *  COS($A214)))</f>
        <v>164.999999967432</v>
      </c>
      <c r="R214" s="214" t="n">
        <f aca="false">DEGREES( ACOS( COS(R$213)  *  COS($A214)))</f>
        <v>149.999999984885</v>
      </c>
      <c r="S214" s="214" t="n">
        <f aca="false">DEGREES( ACOS( COS(S$213)  *  COS($A214)))</f>
        <v>134.999999991273</v>
      </c>
      <c r="T214" s="214" t="n">
        <f aca="false">DEGREES( ACOS( COS(T$213)  *  COS($A214)))</f>
        <v>119.999999994962</v>
      </c>
      <c r="U214" s="214" t="n">
        <f aca="false">DEGREES( ACOS( COS(U$213)  *  COS($A214)))</f>
        <v>104.999999997662</v>
      </c>
      <c r="V214" s="214" t="n">
        <f aca="false">DEGREES( ACOS( COS(V$213)  *  COS($A214)))</f>
        <v>90</v>
      </c>
      <c r="W214" s="214" t="n">
        <f aca="false">DEGREES( ACOS( COS(W$213)  *  COS($A214)))</f>
        <v>75.0000000023383</v>
      </c>
      <c r="X214" s="214" t="n">
        <f aca="false">DEGREES( ACOS( COS(X$213)  *  COS($A214)))</f>
        <v>60.0000000050383</v>
      </c>
      <c r="Y214" s="214" t="n">
        <f aca="false">DEGREES( ACOS( COS(Y$213)  *  COS($A214)))</f>
        <v>45.0000000087267</v>
      </c>
      <c r="Z214" s="214" t="n">
        <f aca="false">DEGREES( ACOS( COS(Z$213)  *  COS($A214)))</f>
        <v>30.000000015115</v>
      </c>
      <c r="AA214" s="214" t="n">
        <f aca="false">DEGREES( ACOS( COS(AA$213)  *  COS($A214)))</f>
        <v>15.0000000325683</v>
      </c>
      <c r="AB214" s="214" t="n">
        <f aca="false">DEGREES( ACOS( COS(AB$213)  *  COS($A214)))</f>
        <v>0.0100498756078044</v>
      </c>
      <c r="AC214" s="195" t="n">
        <f aca="false">DEGREES( ACOS( COS(AC$213)  *  COS($A214)))</f>
        <v>0.0010000000370999</v>
      </c>
      <c r="AD214" s="195" t="n">
        <f aca="false">DEGREES( ACOS( COS(AD$213)  *  COS($A214)))</f>
        <v>0.0010000000370999</v>
      </c>
      <c r="AE214" s="1"/>
      <c r="AF214" s="1"/>
      <c r="AG214" s="1"/>
      <c r="AH214" s="1"/>
      <c r="AI214" s="1"/>
      <c r="AJ214" s="1"/>
      <c r="AK214" s="1"/>
      <c r="AL214" s="1"/>
    </row>
    <row r="215" customFormat="false" ht="12.75" hidden="false" customHeight="true" outlineLevel="0" collapsed="false">
      <c r="A215" s="192" t="n">
        <f aca="false">RADIANS(MOD(B215-180,-360)+180)</f>
        <v>0.261799387799149</v>
      </c>
      <c r="B215" s="182" t="n">
        <v>15</v>
      </c>
      <c r="C215" s="1"/>
      <c r="D215" s="214" t="n">
        <f aca="false">DEGREES( ACOS( COS(D$213)  *  COS($A215)))</f>
        <v>15.0000000325683</v>
      </c>
      <c r="E215" s="210" t="n">
        <f aca="false">DEGREES( ACOS( COS(E$213)  *  COS($A215)))</f>
        <v>21.0905811789991</v>
      </c>
      <c r="F215" s="210" t="n">
        <f aca="false">DEGREES( ACOS( COS(F$213)  *  COS($A215)))</f>
        <v>33.2259422032876</v>
      </c>
      <c r="G215" s="210" t="n">
        <f aca="false">DEGREES( ACOS( COS(G$213)  *  COS($A215)))</f>
        <v>46.9204828581291</v>
      </c>
      <c r="H215" s="210" t="n">
        <f aca="false">DEGREES( ACOS( COS(H$213)  *  COS($A215)))</f>
        <v>61.1209059825724</v>
      </c>
      <c r="I215" s="210" t="n">
        <f aca="false">DEGREES( ACOS( COS(I$213)  *  COS($A215)))</f>
        <v>75.5224878140701</v>
      </c>
      <c r="J215" s="214" t="n">
        <f aca="false">DEGREES( ACOS( COS(J$213)  *  COS($A215)))</f>
        <v>90</v>
      </c>
      <c r="K215" s="210" t="n">
        <f aca="false">DEGREES( ACOS( COS(K$213)  *  COS($A215)))</f>
        <v>104.47751218593</v>
      </c>
      <c r="L215" s="210" t="n">
        <f aca="false">DEGREES( ACOS( COS(L$213)  *  COS($A215)))</f>
        <v>118.879094017428</v>
      </c>
      <c r="M215" s="210" t="n">
        <f aca="false">DEGREES( ACOS( COS(M$213)  *  COS($A215)))</f>
        <v>133.079517141871</v>
      </c>
      <c r="N215" s="210" t="n">
        <f aca="false">DEGREES( ACOS( COS(N$213)  *  COS($A215)))</f>
        <v>146.774057796712</v>
      </c>
      <c r="O215" s="210" t="n">
        <f aca="false">DEGREES( ACOS( COS(O$213)  *  COS($A215)))</f>
        <v>158.909418821001</v>
      </c>
      <c r="P215" s="214" t="n">
        <f aca="false">DEGREES( ACOS( COS(P$213)  *  COS($A215)))</f>
        <v>165</v>
      </c>
      <c r="Q215" s="210" t="n">
        <f aca="false">DEGREES( ACOS( COS(Q$213)  *  COS($A215)))</f>
        <v>158.909418821001</v>
      </c>
      <c r="R215" s="210" t="n">
        <f aca="false">DEGREES( ACOS( COS(R$213)  *  COS($A215)))</f>
        <v>146.774057796712</v>
      </c>
      <c r="S215" s="210" t="n">
        <f aca="false">DEGREES( ACOS( COS(S$213)  *  COS($A215)))</f>
        <v>133.079517141871</v>
      </c>
      <c r="T215" s="210" t="n">
        <f aca="false">DEGREES( ACOS( COS(T$213)  *  COS($A215)))</f>
        <v>118.879094017428</v>
      </c>
      <c r="U215" s="210" t="n">
        <f aca="false">DEGREES( ACOS( COS(U$213)  *  COS($A215)))</f>
        <v>104.47751218593</v>
      </c>
      <c r="V215" s="214" t="n">
        <f aca="false">DEGREES( ACOS( COS(V$213)  *  COS($A215)))</f>
        <v>90</v>
      </c>
      <c r="W215" s="210" t="n">
        <f aca="false">DEGREES( ACOS( COS(W$213)  *  COS($A215)))</f>
        <v>75.5224878140701</v>
      </c>
      <c r="X215" s="210" t="n">
        <f aca="false">DEGREES( ACOS( COS(X$213)  *  COS($A215)))</f>
        <v>61.1209059825724</v>
      </c>
      <c r="Y215" s="210" t="n">
        <f aca="false">DEGREES( ACOS( COS(Y$213)  *  COS($A215)))</f>
        <v>46.9204828581291</v>
      </c>
      <c r="Z215" s="210" t="n">
        <f aca="false">DEGREES( ACOS( COS(Z$213)  *  COS($A215)))</f>
        <v>33.2259422032876</v>
      </c>
      <c r="AA215" s="210" t="n">
        <f aca="false">DEGREES( ACOS( COS(AA$213)  *  COS($A215)))</f>
        <v>21.0905811789991</v>
      </c>
      <c r="AB215" s="214" t="n">
        <f aca="false">DEGREES( ACOS( COS(AB$213)  *  COS($A215)))</f>
        <v>15.0000032568284</v>
      </c>
      <c r="AC215" s="195" t="n">
        <f aca="false">DEGREES( ACOS( COS(AC$213)  *  COS($A215)))</f>
        <v>15</v>
      </c>
      <c r="AD215" s="195" t="n">
        <f aca="false">DEGREES( ACOS( COS(AD$213)  *  COS($A215)))</f>
        <v>15</v>
      </c>
      <c r="AE215" s="1"/>
      <c r="AF215" s="1"/>
      <c r="AG215" s="1"/>
      <c r="AH215" s="1"/>
      <c r="AI215" s="1"/>
      <c r="AJ215" s="1"/>
      <c r="AK215" s="1"/>
      <c r="AL215" s="1"/>
    </row>
    <row r="216" customFormat="false" ht="12.75" hidden="false" customHeight="true" outlineLevel="0" collapsed="false">
      <c r="A216" s="192" t="n">
        <f aca="false">RADIANS(MOD(B216-180,-360)+180)</f>
        <v>0.523598775598299</v>
      </c>
      <c r="B216" s="182" t="n">
        <v>30</v>
      </c>
      <c r="C216" s="1"/>
      <c r="D216" s="214" t="n">
        <f aca="false">DEGREES( ACOS( COS(D$213)  *  COS($A216)))</f>
        <v>30.000000015115</v>
      </c>
      <c r="E216" s="210" t="n">
        <f aca="false">DEGREES( ACOS( COS(E$213)  *  COS($A216)))</f>
        <v>33.2259422032876</v>
      </c>
      <c r="F216" s="210" t="n">
        <f aca="false">DEGREES( ACOS( COS(F$213)  *  COS($A216)))</f>
        <v>41.4096221092709</v>
      </c>
      <c r="G216" s="210" t="n">
        <f aca="false">DEGREES( ACOS( COS(G$213)  *  COS($A216)))</f>
        <v>52.238756092965</v>
      </c>
      <c r="H216" s="210" t="n">
        <f aca="false">DEGREES( ACOS( COS(H$213)  *  COS($A216)))</f>
        <v>64.3410937267447</v>
      </c>
      <c r="I216" s="210" t="n">
        <f aca="false">DEGREES( ACOS( COS(I$213)  *  COS($A216)))</f>
        <v>77.0474603577776</v>
      </c>
      <c r="J216" s="214" t="n">
        <f aca="false">DEGREES( ACOS( COS(J$213)  *  COS($A216)))</f>
        <v>90</v>
      </c>
      <c r="K216" s="210" t="n">
        <f aca="false">DEGREES( ACOS( COS(K$213)  *  COS($A216)))</f>
        <v>102.952539642222</v>
      </c>
      <c r="L216" s="210" t="n">
        <f aca="false">DEGREES( ACOS( COS(L$213)  *  COS($A216)))</f>
        <v>115.658906273255</v>
      </c>
      <c r="M216" s="210" t="n">
        <f aca="false">DEGREES( ACOS( COS(M$213)  *  COS($A216)))</f>
        <v>127.761243907035</v>
      </c>
      <c r="N216" s="210" t="n">
        <f aca="false">DEGREES( ACOS( COS(N$213)  *  COS($A216)))</f>
        <v>138.590377890729</v>
      </c>
      <c r="O216" s="210" t="n">
        <f aca="false">DEGREES( ACOS( COS(O$213)  *  COS($A216)))</f>
        <v>146.774057796712</v>
      </c>
      <c r="P216" s="214" t="n">
        <f aca="false">DEGREES( ACOS( COS(P$213)  *  COS($A216)))</f>
        <v>150</v>
      </c>
      <c r="Q216" s="210" t="n">
        <f aca="false">DEGREES( ACOS( COS(Q$213)  *  COS($A216)))</f>
        <v>146.774057796712</v>
      </c>
      <c r="R216" s="210" t="n">
        <f aca="false">DEGREES( ACOS( COS(R$213)  *  COS($A216)))</f>
        <v>138.590377890729</v>
      </c>
      <c r="S216" s="210" t="n">
        <f aca="false">DEGREES( ACOS( COS(S$213)  *  COS($A216)))</f>
        <v>127.761243907035</v>
      </c>
      <c r="T216" s="210" t="n">
        <f aca="false">DEGREES( ACOS( COS(T$213)  *  COS($A216)))</f>
        <v>115.658906273255</v>
      </c>
      <c r="U216" s="210" t="n">
        <f aca="false">DEGREES( ACOS( COS(U$213)  *  COS($A216)))</f>
        <v>102.952539642222</v>
      </c>
      <c r="V216" s="214" t="n">
        <f aca="false">DEGREES( ACOS( COS(V$213)  *  COS($A216)))</f>
        <v>90</v>
      </c>
      <c r="W216" s="210" t="n">
        <f aca="false">DEGREES( ACOS( COS(W$213)  *  COS($A216)))</f>
        <v>77.0474603577776</v>
      </c>
      <c r="X216" s="210" t="n">
        <f aca="false">DEGREES( ACOS( COS(X$213)  *  COS($A216)))</f>
        <v>64.3410937267447</v>
      </c>
      <c r="Y216" s="210" t="n">
        <f aca="false">DEGREES( ACOS( COS(Y$213)  *  COS($A216)))</f>
        <v>52.238756092965</v>
      </c>
      <c r="Z216" s="210" t="n">
        <f aca="false">DEGREES( ACOS( COS(Z$213)  *  COS($A216)))</f>
        <v>41.4096221092709</v>
      </c>
      <c r="AA216" s="210" t="n">
        <f aca="false">DEGREES( ACOS( COS(AA$213)  *  COS($A216)))</f>
        <v>33.2259422032876</v>
      </c>
      <c r="AB216" s="214" t="n">
        <f aca="false">DEGREES( ACOS( COS(AB$213)  *  COS($A216)))</f>
        <v>30.0000015114994</v>
      </c>
      <c r="AC216" s="195" t="n">
        <f aca="false">DEGREES( ACOS( COS(AC$213)  *  COS($A216)))</f>
        <v>30</v>
      </c>
      <c r="AD216" s="195" t="n">
        <f aca="false">DEGREES( ACOS( COS(AD$213)  *  COS($A216)))</f>
        <v>30</v>
      </c>
      <c r="AE216" s="1"/>
      <c r="AF216" s="1"/>
      <c r="AG216" s="1"/>
      <c r="AH216" s="1"/>
      <c r="AI216" s="1"/>
      <c r="AJ216" s="1"/>
      <c r="AK216" s="1"/>
      <c r="AL216" s="1"/>
    </row>
    <row r="217" customFormat="false" ht="12.75" hidden="false" customHeight="true" outlineLevel="0" collapsed="false">
      <c r="A217" s="192" t="n">
        <f aca="false">RADIANS(MOD(B217-180,-360)+180)</f>
        <v>0.785398163397448</v>
      </c>
      <c r="B217" s="182" t="n">
        <v>45</v>
      </c>
      <c r="C217" s="1"/>
      <c r="D217" s="214" t="n">
        <f aca="false">DEGREES( ACOS( COS(D$213)  *  COS($A217)))</f>
        <v>45.0000000087267</v>
      </c>
      <c r="E217" s="210" t="n">
        <f aca="false">DEGREES( ACOS( COS(E$213)  *  COS($A217)))</f>
        <v>46.9204828581291</v>
      </c>
      <c r="F217" s="210" t="n">
        <f aca="false">DEGREES( ACOS( COS(F$213)  *  COS($A217)))</f>
        <v>52.238756092965</v>
      </c>
      <c r="G217" s="210" t="n">
        <f aca="false">DEGREES( ACOS( COS(G$213)  *  COS($A217)))</f>
        <v>60</v>
      </c>
      <c r="H217" s="210" t="n">
        <f aca="false">DEGREES( ACOS( COS(H$213)  *  COS($A217)))</f>
        <v>69.2951889453646</v>
      </c>
      <c r="I217" s="210" t="n">
        <f aca="false">DEGREES( ACOS( COS(I$213)  *  COS($A217)))</f>
        <v>79.4547094105004</v>
      </c>
      <c r="J217" s="214" t="n">
        <f aca="false">DEGREES( ACOS( COS(J$213)  *  COS($A217)))</f>
        <v>90</v>
      </c>
      <c r="K217" s="210" t="n">
        <f aca="false">DEGREES( ACOS( COS(K$213)  *  COS($A217)))</f>
        <v>100.5452905895</v>
      </c>
      <c r="L217" s="210" t="n">
        <f aca="false">DEGREES( ACOS( COS(L$213)  *  COS($A217)))</f>
        <v>110.704811054635</v>
      </c>
      <c r="M217" s="210" t="n">
        <f aca="false">DEGREES( ACOS( COS(M$213)  *  COS($A217)))</f>
        <v>120</v>
      </c>
      <c r="N217" s="210" t="n">
        <f aca="false">DEGREES( ACOS( COS(N$213)  *  COS($A217)))</f>
        <v>127.761243907035</v>
      </c>
      <c r="O217" s="210" t="n">
        <f aca="false">DEGREES( ACOS( COS(O$213)  *  COS($A217)))</f>
        <v>133.079517141871</v>
      </c>
      <c r="P217" s="214" t="n">
        <f aca="false">DEGREES( ACOS( COS(P$213)  *  COS($A217)))</f>
        <v>135</v>
      </c>
      <c r="Q217" s="210" t="n">
        <f aca="false">DEGREES( ACOS( COS(Q$213)  *  COS($A217)))</f>
        <v>133.079517141871</v>
      </c>
      <c r="R217" s="210" t="n">
        <f aca="false">DEGREES( ACOS( COS(R$213)  *  COS($A217)))</f>
        <v>127.761243907035</v>
      </c>
      <c r="S217" s="210" t="n">
        <f aca="false">DEGREES( ACOS( COS(S$213)  *  COS($A217)))</f>
        <v>120</v>
      </c>
      <c r="T217" s="210" t="n">
        <f aca="false">DEGREES( ACOS( COS(T$213)  *  COS($A217)))</f>
        <v>110.704811054635</v>
      </c>
      <c r="U217" s="210" t="n">
        <f aca="false">DEGREES( ACOS( COS(U$213)  *  COS($A217)))</f>
        <v>100.5452905895</v>
      </c>
      <c r="V217" s="214" t="n">
        <f aca="false">DEGREES( ACOS( COS(V$213)  *  COS($A217)))</f>
        <v>90</v>
      </c>
      <c r="W217" s="210" t="n">
        <f aca="false">DEGREES( ACOS( COS(W$213)  *  COS($A217)))</f>
        <v>79.4547094105004</v>
      </c>
      <c r="X217" s="210" t="n">
        <f aca="false">DEGREES( ACOS( COS(X$213)  *  COS($A217)))</f>
        <v>69.2951889453646</v>
      </c>
      <c r="Y217" s="210" t="n">
        <f aca="false">DEGREES( ACOS( COS(Y$213)  *  COS($A217)))</f>
        <v>60</v>
      </c>
      <c r="Z217" s="210" t="n">
        <f aca="false">DEGREES( ACOS( COS(Z$213)  *  COS($A217)))</f>
        <v>52.238756092965</v>
      </c>
      <c r="AA217" s="210" t="n">
        <f aca="false">DEGREES( ACOS( COS(AA$213)  *  COS($A217)))</f>
        <v>46.9204828581291</v>
      </c>
      <c r="AB217" s="214" t="n">
        <f aca="false">DEGREES( ACOS( COS(AB$213)  *  COS($A217)))</f>
        <v>45.0000008726646</v>
      </c>
      <c r="AC217" s="195" t="n">
        <f aca="false">DEGREES( ACOS( COS(AC$213)  *  COS($A217)))</f>
        <v>45</v>
      </c>
      <c r="AD217" s="195" t="n">
        <f aca="false">DEGREES( ACOS( COS(AD$213)  *  COS($A217)))</f>
        <v>45</v>
      </c>
      <c r="AE217" s="1"/>
      <c r="AF217" s="1"/>
      <c r="AG217" s="1"/>
      <c r="AH217" s="1"/>
      <c r="AI217" s="1"/>
      <c r="AJ217" s="1"/>
      <c r="AK217" s="1"/>
      <c r="AL217" s="1"/>
    </row>
    <row r="218" customFormat="false" ht="12.75" hidden="false" customHeight="true" outlineLevel="0" collapsed="false">
      <c r="A218" s="192" t="n">
        <f aca="false">RADIANS(MOD(B218-180,-360)+180)</f>
        <v>1.0471975511966</v>
      </c>
      <c r="B218" s="182" t="n">
        <v>60</v>
      </c>
      <c r="C218" s="1"/>
      <c r="D218" s="214" t="n">
        <f aca="false">DEGREES( ACOS( COS(D$213)  *  COS($A218)))</f>
        <v>60.0000000050383</v>
      </c>
      <c r="E218" s="210" t="n">
        <f aca="false">DEGREES( ACOS( COS(E$213)  *  COS($A218)))</f>
        <v>61.1209059825724</v>
      </c>
      <c r="F218" s="210" t="n">
        <f aca="false">DEGREES( ACOS( COS(F$213)  *  COS($A218)))</f>
        <v>64.3410937267447</v>
      </c>
      <c r="G218" s="210" t="n">
        <f aca="false">DEGREES( ACOS( COS(G$213)  *  COS($A218)))</f>
        <v>69.2951889453646</v>
      </c>
      <c r="H218" s="210" t="n">
        <f aca="false">DEGREES( ACOS( COS(H$213)  *  COS($A218)))</f>
        <v>75.5224878140701</v>
      </c>
      <c r="I218" s="210" t="n">
        <f aca="false">DEGREES( ACOS( COS(I$213)  *  COS($A218)))</f>
        <v>82.5645277738682</v>
      </c>
      <c r="J218" s="214" t="n">
        <f aca="false">DEGREES( ACOS( COS(J$213)  *  COS($A218)))</f>
        <v>90</v>
      </c>
      <c r="K218" s="210" t="n">
        <f aca="false">DEGREES( ACOS( COS(K$213)  *  COS($A218)))</f>
        <v>97.4354722261319</v>
      </c>
      <c r="L218" s="210" t="n">
        <f aca="false">DEGREES( ACOS( COS(L$213)  *  COS($A218)))</f>
        <v>104.47751218593</v>
      </c>
      <c r="M218" s="210" t="n">
        <f aca="false">DEGREES( ACOS( COS(M$213)  *  COS($A218)))</f>
        <v>110.704811054635</v>
      </c>
      <c r="N218" s="210" t="n">
        <f aca="false">DEGREES( ACOS( COS(N$213)  *  COS($A218)))</f>
        <v>115.658906273255</v>
      </c>
      <c r="O218" s="210" t="n">
        <f aca="false">DEGREES( ACOS( COS(O$213)  *  COS($A218)))</f>
        <v>118.879094017428</v>
      </c>
      <c r="P218" s="214" t="n">
        <f aca="false">DEGREES( ACOS( COS(P$213)  *  COS($A218)))</f>
        <v>120</v>
      </c>
      <c r="Q218" s="210" t="n">
        <f aca="false">DEGREES( ACOS( COS(Q$213)  *  COS($A218)))</f>
        <v>118.879094017428</v>
      </c>
      <c r="R218" s="210" t="n">
        <f aca="false">DEGREES( ACOS( COS(R$213)  *  COS($A218)))</f>
        <v>115.658906273255</v>
      </c>
      <c r="S218" s="210" t="n">
        <f aca="false">DEGREES( ACOS( COS(S$213)  *  COS($A218)))</f>
        <v>110.704811054635</v>
      </c>
      <c r="T218" s="210" t="n">
        <f aca="false">DEGREES( ACOS( COS(T$213)  *  COS($A218)))</f>
        <v>104.47751218593</v>
      </c>
      <c r="U218" s="210" t="n">
        <f aca="false">DEGREES( ACOS( COS(U$213)  *  COS($A218)))</f>
        <v>97.4354722261319</v>
      </c>
      <c r="V218" s="214" t="n">
        <f aca="false">DEGREES( ACOS( COS(V$213)  *  COS($A218)))</f>
        <v>90</v>
      </c>
      <c r="W218" s="210" t="n">
        <f aca="false">DEGREES( ACOS( COS(W$213)  *  COS($A218)))</f>
        <v>82.5645277738682</v>
      </c>
      <c r="X218" s="210" t="n">
        <f aca="false">DEGREES( ACOS( COS(X$213)  *  COS($A218)))</f>
        <v>75.5224878140701</v>
      </c>
      <c r="Y218" s="210" t="n">
        <f aca="false">DEGREES( ACOS( COS(Y$213)  *  COS($A218)))</f>
        <v>69.2951889453646</v>
      </c>
      <c r="Z218" s="210" t="n">
        <f aca="false">DEGREES( ACOS( COS(Z$213)  *  COS($A218)))</f>
        <v>64.3410937267447</v>
      </c>
      <c r="AA218" s="210" t="n">
        <f aca="false">DEGREES( ACOS( COS(AA$213)  *  COS($A218)))</f>
        <v>61.1209059825724</v>
      </c>
      <c r="AB218" s="214" t="n">
        <f aca="false">DEGREES( ACOS( COS(AB$213)  *  COS($A218)))</f>
        <v>60.0000005038332</v>
      </c>
      <c r="AC218" s="195" t="n">
        <f aca="false">DEGREES( ACOS( COS(AC$213)  *  COS($A218)))</f>
        <v>60</v>
      </c>
      <c r="AD218" s="195" t="n">
        <f aca="false">DEGREES( ACOS( COS(AD$213)  *  COS($A218)))</f>
        <v>60</v>
      </c>
      <c r="AE218" s="1"/>
      <c r="AF218" s="1"/>
      <c r="AG218" s="1"/>
      <c r="AH218" s="1"/>
      <c r="AI218" s="1"/>
      <c r="AJ218" s="1"/>
      <c r="AK218" s="1"/>
      <c r="AL218" s="1"/>
    </row>
    <row r="219" customFormat="false" ht="12.75" hidden="false" customHeight="true" outlineLevel="0" collapsed="false">
      <c r="A219" s="192" t="n">
        <f aca="false">RADIANS(MOD(B219-180,-360)+180)</f>
        <v>1.30899693899575</v>
      </c>
      <c r="B219" s="182" t="n">
        <v>75</v>
      </c>
      <c r="C219" s="1"/>
      <c r="D219" s="214" t="n">
        <f aca="false">DEGREES( ACOS( COS(D$213)  *  COS($A219)))</f>
        <v>75.0000000023383</v>
      </c>
      <c r="E219" s="210" t="n">
        <f aca="false">DEGREES( ACOS( COS(E$213)  *  COS($A219)))</f>
        <v>75.5224878140701</v>
      </c>
      <c r="F219" s="210" t="n">
        <f aca="false">DEGREES( ACOS( COS(F$213)  *  COS($A219)))</f>
        <v>77.0474603577776</v>
      </c>
      <c r="G219" s="210" t="n">
        <f aca="false">DEGREES( ACOS( COS(G$213)  *  COS($A219)))</f>
        <v>79.4547094105004</v>
      </c>
      <c r="H219" s="210" t="n">
        <f aca="false">DEGREES( ACOS( COS(H$213)  *  COS($A219)))</f>
        <v>82.5645277738682</v>
      </c>
      <c r="I219" s="210" t="n">
        <f aca="false">DEGREES( ACOS( COS(I$213)  *  COS($A219)))</f>
        <v>86.1590342837419</v>
      </c>
      <c r="J219" s="214" t="n">
        <f aca="false">DEGREES( ACOS( COS(J$213)  *  COS($A219)))</f>
        <v>90</v>
      </c>
      <c r="K219" s="210" t="n">
        <f aca="false">DEGREES( ACOS( COS(K$213)  *  COS($A219)))</f>
        <v>93.8409657162582</v>
      </c>
      <c r="L219" s="210" t="n">
        <f aca="false">DEGREES( ACOS( COS(L$213)  *  COS($A219)))</f>
        <v>97.4354722261319</v>
      </c>
      <c r="M219" s="210" t="n">
        <f aca="false">DEGREES( ACOS( COS(M$213)  *  COS($A219)))</f>
        <v>100.5452905895</v>
      </c>
      <c r="N219" s="210" t="n">
        <f aca="false">DEGREES( ACOS( COS(N$213)  *  COS($A219)))</f>
        <v>102.952539642222</v>
      </c>
      <c r="O219" s="210" t="n">
        <f aca="false">DEGREES( ACOS( COS(O$213)  *  COS($A219)))</f>
        <v>104.47751218593</v>
      </c>
      <c r="P219" s="214" t="n">
        <f aca="false">DEGREES( ACOS( COS(P$213)  *  COS($A219)))</f>
        <v>105</v>
      </c>
      <c r="Q219" s="210" t="n">
        <f aca="false">DEGREES( ACOS( COS(Q$213)  *  COS($A219)))</f>
        <v>104.47751218593</v>
      </c>
      <c r="R219" s="210" t="n">
        <f aca="false">DEGREES( ACOS( COS(R$213)  *  COS($A219)))</f>
        <v>102.952539642222</v>
      </c>
      <c r="S219" s="210" t="n">
        <f aca="false">DEGREES( ACOS( COS(S$213)  *  COS($A219)))</f>
        <v>100.5452905895</v>
      </c>
      <c r="T219" s="210" t="n">
        <f aca="false">DEGREES( ACOS( COS(T$213)  *  COS($A219)))</f>
        <v>97.4354722261319</v>
      </c>
      <c r="U219" s="210" t="n">
        <f aca="false">DEGREES( ACOS( COS(U$213)  *  COS($A219)))</f>
        <v>93.8409657162582</v>
      </c>
      <c r="V219" s="214" t="n">
        <f aca="false">DEGREES( ACOS( COS(V$213)  *  COS($A219)))</f>
        <v>90</v>
      </c>
      <c r="W219" s="210" t="n">
        <f aca="false">DEGREES( ACOS( COS(W$213)  *  COS($A219)))</f>
        <v>86.1590342837419</v>
      </c>
      <c r="X219" s="210" t="n">
        <f aca="false">DEGREES( ACOS( COS(X$213)  *  COS($A219)))</f>
        <v>82.5645277738682</v>
      </c>
      <c r="Y219" s="210" t="n">
        <f aca="false">DEGREES( ACOS( COS(Y$213)  *  COS($A219)))</f>
        <v>79.4547094105004</v>
      </c>
      <c r="Z219" s="210" t="n">
        <f aca="false">DEGREES( ACOS( COS(Z$213)  *  COS($A219)))</f>
        <v>77.0474603577776</v>
      </c>
      <c r="AA219" s="210" t="n">
        <f aca="false">DEGREES( ACOS( COS(AA$213)  *  COS($A219)))</f>
        <v>75.5224878140701</v>
      </c>
      <c r="AB219" s="214" t="n">
        <f aca="false">DEGREES( ACOS( COS(AB$213)  *  COS($A219)))</f>
        <v>75.0000002338298</v>
      </c>
      <c r="AC219" s="195" t="n">
        <f aca="false">DEGREES( ACOS( COS(AC$213)  *  COS($A219)))</f>
        <v>75</v>
      </c>
      <c r="AD219" s="195" t="n">
        <f aca="false">DEGREES( ACOS( COS(AD$213)  *  COS($A219)))</f>
        <v>75</v>
      </c>
      <c r="AE219" s="1"/>
      <c r="AF219" s="1"/>
      <c r="AG219" s="1"/>
      <c r="AH219" s="1"/>
      <c r="AI219" s="1"/>
      <c r="AJ219" s="1"/>
      <c r="AK219" s="1"/>
      <c r="AL219" s="1"/>
    </row>
    <row r="220" customFormat="false" ht="12.75" hidden="false" customHeight="true" outlineLevel="0" collapsed="false">
      <c r="A220" s="192" t="n">
        <f aca="false">RADIANS(MOD(B220-180,-360)+180)</f>
        <v>1.5707963267949</v>
      </c>
      <c r="B220" s="182" t="n">
        <v>90</v>
      </c>
      <c r="C220" s="1"/>
      <c r="D220" s="214" t="n">
        <f aca="false">DEGREES( ACOS( COS(D$213)  *  COS($A220)))</f>
        <v>90</v>
      </c>
      <c r="E220" s="214" t="n">
        <f aca="false">DEGREES( ACOS( COS(E$213)  *  COS($A220)))</f>
        <v>90</v>
      </c>
      <c r="F220" s="214" t="n">
        <f aca="false">DEGREES( ACOS( COS(F$213)  *  COS($A220)))</f>
        <v>90</v>
      </c>
      <c r="G220" s="214" t="n">
        <f aca="false">DEGREES( ACOS( COS(G$213)  *  COS($A220)))</f>
        <v>90</v>
      </c>
      <c r="H220" s="214" t="n">
        <f aca="false">DEGREES( ACOS( COS(H$213)  *  COS($A220)))</f>
        <v>90</v>
      </c>
      <c r="I220" s="214" t="n">
        <f aca="false">DEGREES( ACOS( COS(I$213)  *  COS($A220)))</f>
        <v>90</v>
      </c>
      <c r="J220" s="214" t="n">
        <f aca="false">DEGREES( ACOS( COS(J$213)  *  COS($A220)))</f>
        <v>90</v>
      </c>
      <c r="K220" s="214" t="n">
        <f aca="false">DEGREES( ACOS( COS(K$213)  *  COS($A220)))</f>
        <v>90</v>
      </c>
      <c r="L220" s="214" t="n">
        <f aca="false">DEGREES( ACOS( COS(L$213)  *  COS($A220)))</f>
        <v>90</v>
      </c>
      <c r="M220" s="214" t="n">
        <f aca="false">DEGREES( ACOS( COS(M$213)  *  COS($A220)))</f>
        <v>90</v>
      </c>
      <c r="N220" s="214" t="n">
        <f aca="false">DEGREES( ACOS( COS(N$213)  *  COS($A220)))</f>
        <v>90</v>
      </c>
      <c r="O220" s="214" t="n">
        <f aca="false">DEGREES( ACOS( COS(O$213)  *  COS($A220)))</f>
        <v>90</v>
      </c>
      <c r="P220" s="214" t="n">
        <f aca="false">DEGREES( ACOS( COS(P$213)  *  COS($A220)))</f>
        <v>90</v>
      </c>
      <c r="Q220" s="214" t="n">
        <f aca="false">DEGREES( ACOS( COS(Q$213)  *  COS($A220)))</f>
        <v>90</v>
      </c>
      <c r="R220" s="214" t="n">
        <f aca="false">DEGREES( ACOS( COS(R$213)  *  COS($A220)))</f>
        <v>90</v>
      </c>
      <c r="S220" s="214" t="n">
        <f aca="false">DEGREES( ACOS( COS(S$213)  *  COS($A220)))</f>
        <v>90</v>
      </c>
      <c r="T220" s="214" t="n">
        <f aca="false">DEGREES( ACOS( COS(T$213)  *  COS($A220)))</f>
        <v>90</v>
      </c>
      <c r="U220" s="214" t="n">
        <f aca="false">DEGREES( ACOS( COS(U$213)  *  COS($A220)))</f>
        <v>90</v>
      </c>
      <c r="V220" s="214" t="n">
        <f aca="false">DEGREES( ACOS( COS(V$213)  *  COS($A220)))</f>
        <v>90</v>
      </c>
      <c r="W220" s="214" t="n">
        <f aca="false">DEGREES( ACOS( COS(W$213)  *  COS($A220)))</f>
        <v>90</v>
      </c>
      <c r="X220" s="214" t="n">
        <f aca="false">DEGREES( ACOS( COS(X$213)  *  COS($A220)))</f>
        <v>90</v>
      </c>
      <c r="Y220" s="214" t="n">
        <f aca="false">DEGREES( ACOS( COS(Y$213)  *  COS($A220)))</f>
        <v>90</v>
      </c>
      <c r="Z220" s="214" t="n">
        <f aca="false">DEGREES( ACOS( COS(Z$213)  *  COS($A220)))</f>
        <v>90</v>
      </c>
      <c r="AA220" s="214" t="n">
        <f aca="false">DEGREES( ACOS( COS(AA$213)  *  COS($A220)))</f>
        <v>90</v>
      </c>
      <c r="AB220" s="214" t="n">
        <f aca="false">DEGREES( ACOS( COS(AB$213)  *  COS($A220)))</f>
        <v>90</v>
      </c>
      <c r="AC220" s="195" t="n">
        <f aca="false">DEGREES( ACOS( COS(AC$213)  *  COS($A220)))</f>
        <v>90</v>
      </c>
      <c r="AD220" s="195" t="n">
        <f aca="false">DEGREES( ACOS( COS(AD$213)  *  COS($A220)))</f>
        <v>90</v>
      </c>
      <c r="AE220" s="1"/>
      <c r="AF220" s="1"/>
      <c r="AG220" s="1"/>
      <c r="AH220" s="1"/>
      <c r="AI220" s="1"/>
      <c r="AJ220" s="1"/>
      <c r="AK220" s="1"/>
      <c r="AL220" s="1"/>
    </row>
    <row r="221" customFormat="false" ht="12.75" hidden="false" customHeight="true" outlineLevel="0" collapsed="false">
      <c r="A221" s="192" t="n">
        <f aca="false">RADIANS(MOD(B221-180,-360)+180)</f>
        <v>1.83259571459405</v>
      </c>
      <c r="B221" s="182" t="n">
        <v>105</v>
      </c>
      <c r="C221" s="1"/>
      <c r="D221" s="214" t="n">
        <f aca="false">DEGREES( ACOS( COS(D$213)  *  COS($A221)))</f>
        <v>104.999999997662</v>
      </c>
      <c r="E221" s="210" t="n">
        <f aca="false">DEGREES( ACOS( COS(E$213)  *  COS($A221)))</f>
        <v>104.47751218593</v>
      </c>
      <c r="F221" s="210" t="n">
        <f aca="false">DEGREES( ACOS( COS(F$213)  *  COS($A221)))</f>
        <v>102.952539642222</v>
      </c>
      <c r="G221" s="210" t="n">
        <f aca="false">DEGREES( ACOS( COS(G$213)  *  COS($A221)))</f>
        <v>100.5452905895</v>
      </c>
      <c r="H221" s="210" t="n">
        <f aca="false">DEGREES( ACOS( COS(H$213)  *  COS($A221)))</f>
        <v>97.4354722261319</v>
      </c>
      <c r="I221" s="210" t="n">
        <f aca="false">DEGREES( ACOS( COS(I$213)  *  COS($A221)))</f>
        <v>93.8409657162582</v>
      </c>
      <c r="J221" s="214" t="n">
        <f aca="false">DEGREES( ACOS( COS(J$213)  *  COS($A221)))</f>
        <v>90</v>
      </c>
      <c r="K221" s="210" t="n">
        <f aca="false">DEGREES( ACOS( COS(K$213)  *  COS($A221)))</f>
        <v>86.1590342837419</v>
      </c>
      <c r="L221" s="210" t="n">
        <f aca="false">DEGREES( ACOS( COS(L$213)  *  COS($A221)))</f>
        <v>82.5645277738682</v>
      </c>
      <c r="M221" s="210" t="n">
        <f aca="false">DEGREES( ACOS( COS(M$213)  *  COS($A221)))</f>
        <v>79.4547094105004</v>
      </c>
      <c r="N221" s="210" t="n">
        <f aca="false">DEGREES( ACOS( COS(N$213)  *  COS($A221)))</f>
        <v>77.0474603577776</v>
      </c>
      <c r="O221" s="210" t="n">
        <f aca="false">DEGREES( ACOS( COS(O$213)  *  COS($A221)))</f>
        <v>75.5224878140701</v>
      </c>
      <c r="P221" s="214" t="n">
        <f aca="false">DEGREES( ACOS( COS(P$213)  *  COS($A221)))</f>
        <v>75</v>
      </c>
      <c r="Q221" s="210" t="n">
        <f aca="false">DEGREES( ACOS( COS(Q$213)  *  COS($A221)))</f>
        <v>75.5224878140701</v>
      </c>
      <c r="R221" s="210" t="n">
        <f aca="false">DEGREES( ACOS( COS(R$213)  *  COS($A221)))</f>
        <v>77.0474603577776</v>
      </c>
      <c r="S221" s="210" t="n">
        <f aca="false">DEGREES( ACOS( COS(S$213)  *  COS($A221)))</f>
        <v>79.4547094105004</v>
      </c>
      <c r="T221" s="210" t="n">
        <f aca="false">DEGREES( ACOS( COS(T$213)  *  COS($A221)))</f>
        <v>82.5645277738682</v>
      </c>
      <c r="U221" s="210" t="n">
        <f aca="false">DEGREES( ACOS( COS(U$213)  *  COS($A221)))</f>
        <v>86.1590342837419</v>
      </c>
      <c r="V221" s="214" t="n">
        <f aca="false">DEGREES( ACOS( COS(V$213)  *  COS($A221)))</f>
        <v>90</v>
      </c>
      <c r="W221" s="210" t="n">
        <f aca="false">DEGREES( ACOS( COS(W$213)  *  COS($A221)))</f>
        <v>93.8409657162582</v>
      </c>
      <c r="X221" s="210" t="n">
        <f aca="false">DEGREES( ACOS( COS(X$213)  *  COS($A221)))</f>
        <v>97.4354722261319</v>
      </c>
      <c r="Y221" s="210" t="n">
        <f aca="false">DEGREES( ACOS( COS(Y$213)  *  COS($A221)))</f>
        <v>100.5452905895</v>
      </c>
      <c r="Z221" s="210" t="n">
        <f aca="false">DEGREES( ACOS( COS(Z$213)  *  COS($A221)))</f>
        <v>102.952539642222</v>
      </c>
      <c r="AA221" s="210" t="n">
        <f aca="false">DEGREES( ACOS( COS(AA$213)  *  COS($A221)))</f>
        <v>104.47751218593</v>
      </c>
      <c r="AB221" s="214" t="n">
        <f aca="false">DEGREES( ACOS( COS(AB$213)  *  COS($A221)))</f>
        <v>104.99999976617</v>
      </c>
      <c r="AC221" s="195" t="n">
        <f aca="false">DEGREES( ACOS( COS(AC$213)  *  COS($A221)))</f>
        <v>105</v>
      </c>
      <c r="AD221" s="195" t="n">
        <f aca="false">DEGREES( ACOS( COS(AD$213)  *  COS($A221)))</f>
        <v>105</v>
      </c>
      <c r="AE221" s="1"/>
      <c r="AF221" s="1"/>
      <c r="AG221" s="1"/>
      <c r="AH221" s="1"/>
      <c r="AI221" s="1"/>
      <c r="AJ221" s="1"/>
      <c r="AK221" s="1"/>
      <c r="AL221" s="1"/>
    </row>
    <row r="222" customFormat="false" ht="12.75" hidden="false" customHeight="true" outlineLevel="0" collapsed="false">
      <c r="A222" s="192" t="n">
        <f aca="false">RADIANS(MOD(B222-180,-360)+180)</f>
        <v>2.0943951023932</v>
      </c>
      <c r="B222" s="182" t="n">
        <v>120</v>
      </c>
      <c r="C222" s="1"/>
      <c r="D222" s="214" t="n">
        <f aca="false">DEGREES( ACOS( COS(D$213)  *  COS($A222)))</f>
        <v>119.999999994962</v>
      </c>
      <c r="E222" s="210" t="n">
        <f aca="false">DEGREES( ACOS( COS(E$213)  *  COS($A222)))</f>
        <v>118.879094017428</v>
      </c>
      <c r="F222" s="210" t="n">
        <f aca="false">DEGREES( ACOS( COS(F$213)  *  COS($A222)))</f>
        <v>115.658906273255</v>
      </c>
      <c r="G222" s="210" t="n">
        <f aca="false">DEGREES( ACOS( COS(G$213)  *  COS($A222)))</f>
        <v>110.704811054635</v>
      </c>
      <c r="H222" s="210" t="n">
        <f aca="false">DEGREES( ACOS( COS(H$213)  *  COS($A222)))</f>
        <v>104.47751218593</v>
      </c>
      <c r="I222" s="210" t="n">
        <f aca="false">DEGREES( ACOS( COS(I$213)  *  COS($A222)))</f>
        <v>97.4354722261319</v>
      </c>
      <c r="J222" s="214" t="n">
        <f aca="false">DEGREES( ACOS( COS(J$213)  *  COS($A222)))</f>
        <v>90</v>
      </c>
      <c r="K222" s="210" t="n">
        <f aca="false">DEGREES( ACOS( COS(K$213)  *  COS($A222)))</f>
        <v>82.5645277738682</v>
      </c>
      <c r="L222" s="210" t="n">
        <f aca="false">DEGREES( ACOS( COS(L$213)  *  COS($A222)))</f>
        <v>75.5224878140701</v>
      </c>
      <c r="M222" s="210" t="n">
        <f aca="false">DEGREES( ACOS( COS(M$213)  *  COS($A222)))</f>
        <v>69.2951889453646</v>
      </c>
      <c r="N222" s="210" t="n">
        <f aca="false">DEGREES( ACOS( COS(N$213)  *  COS($A222)))</f>
        <v>64.3410937267447</v>
      </c>
      <c r="O222" s="210" t="n">
        <f aca="false">DEGREES( ACOS( COS(O$213)  *  COS($A222)))</f>
        <v>61.1209059825724</v>
      </c>
      <c r="P222" s="214" t="n">
        <f aca="false">DEGREES( ACOS( COS(P$213)  *  COS($A222)))</f>
        <v>60</v>
      </c>
      <c r="Q222" s="210" t="n">
        <f aca="false">DEGREES( ACOS( COS(Q$213)  *  COS($A222)))</f>
        <v>61.1209059825724</v>
      </c>
      <c r="R222" s="210" t="n">
        <f aca="false">DEGREES( ACOS( COS(R$213)  *  COS($A222)))</f>
        <v>64.3410937267447</v>
      </c>
      <c r="S222" s="210" t="n">
        <f aca="false">DEGREES( ACOS( COS(S$213)  *  COS($A222)))</f>
        <v>69.2951889453646</v>
      </c>
      <c r="T222" s="210" t="n">
        <f aca="false">DEGREES( ACOS( COS(T$213)  *  COS($A222)))</f>
        <v>75.5224878140701</v>
      </c>
      <c r="U222" s="210" t="n">
        <f aca="false">DEGREES( ACOS( COS(U$213)  *  COS($A222)))</f>
        <v>82.5645277738682</v>
      </c>
      <c r="V222" s="214" t="n">
        <f aca="false">DEGREES( ACOS( COS(V$213)  *  COS($A222)))</f>
        <v>90</v>
      </c>
      <c r="W222" s="210" t="n">
        <f aca="false">DEGREES( ACOS( COS(W$213)  *  COS($A222)))</f>
        <v>97.4354722261319</v>
      </c>
      <c r="X222" s="210" t="n">
        <f aca="false">DEGREES( ACOS( COS(X$213)  *  COS($A222)))</f>
        <v>104.47751218593</v>
      </c>
      <c r="Y222" s="210" t="n">
        <f aca="false">DEGREES( ACOS( COS(Y$213)  *  COS($A222)))</f>
        <v>110.704811054635</v>
      </c>
      <c r="Z222" s="210" t="n">
        <f aca="false">DEGREES( ACOS( COS(Z$213)  *  COS($A222)))</f>
        <v>115.658906273255</v>
      </c>
      <c r="AA222" s="210" t="n">
        <f aca="false">DEGREES( ACOS( COS(AA$213)  *  COS($A222)))</f>
        <v>118.879094017428</v>
      </c>
      <c r="AB222" s="214" t="n">
        <f aca="false">DEGREES( ACOS( COS(AB$213)  *  COS($A222)))</f>
        <v>119.999999496167</v>
      </c>
      <c r="AC222" s="195" t="n">
        <f aca="false">DEGREES( ACOS( COS(AC$213)  *  COS($A222)))</f>
        <v>120</v>
      </c>
      <c r="AD222" s="195" t="n">
        <f aca="false">DEGREES( ACOS( COS(AD$213)  *  COS($A222)))</f>
        <v>120</v>
      </c>
      <c r="AE222" s="1"/>
      <c r="AF222" s="1"/>
      <c r="AG222" s="1"/>
      <c r="AH222" s="1"/>
      <c r="AI222" s="1"/>
      <c r="AJ222" s="1"/>
      <c r="AK222" s="1"/>
      <c r="AL222" s="1"/>
    </row>
    <row r="223" customFormat="false" ht="12.75" hidden="false" customHeight="true" outlineLevel="0" collapsed="false">
      <c r="A223" s="192" t="n">
        <f aca="false">RADIANS(MOD(B223-180,-360)+180)</f>
        <v>2.35619449019234</v>
      </c>
      <c r="B223" s="182" t="n">
        <v>135</v>
      </c>
      <c r="C223" s="1"/>
      <c r="D223" s="214" t="n">
        <f aca="false">DEGREES( ACOS( COS(D$213)  *  COS($A223)))</f>
        <v>134.999999991273</v>
      </c>
      <c r="E223" s="210" t="n">
        <f aca="false">DEGREES( ACOS( COS(E$213)  *  COS($A223)))</f>
        <v>133.079517141871</v>
      </c>
      <c r="F223" s="210" t="n">
        <f aca="false">DEGREES( ACOS( COS(F$213)  *  COS($A223)))</f>
        <v>127.761243907035</v>
      </c>
      <c r="G223" s="210" t="n">
        <f aca="false">DEGREES( ACOS( COS(G$213)  *  COS($A223)))</f>
        <v>120</v>
      </c>
      <c r="H223" s="210" t="n">
        <f aca="false">DEGREES( ACOS( COS(H$213)  *  COS($A223)))</f>
        <v>110.704811054635</v>
      </c>
      <c r="I223" s="210" t="n">
        <f aca="false">DEGREES( ACOS( COS(I$213)  *  COS($A223)))</f>
        <v>100.5452905895</v>
      </c>
      <c r="J223" s="214" t="n">
        <f aca="false">DEGREES( ACOS( COS(J$213)  *  COS($A223)))</f>
        <v>90</v>
      </c>
      <c r="K223" s="210" t="n">
        <f aca="false">DEGREES( ACOS( COS(K$213)  *  COS($A223)))</f>
        <v>79.4547094105004</v>
      </c>
      <c r="L223" s="210" t="n">
        <f aca="false">DEGREES( ACOS( COS(L$213)  *  COS($A223)))</f>
        <v>69.2951889453646</v>
      </c>
      <c r="M223" s="210" t="n">
        <f aca="false">DEGREES( ACOS( COS(M$213)  *  COS($A223)))</f>
        <v>60</v>
      </c>
      <c r="N223" s="210" t="n">
        <f aca="false">DEGREES( ACOS( COS(N$213)  *  COS($A223)))</f>
        <v>52.238756092965</v>
      </c>
      <c r="O223" s="210" t="n">
        <f aca="false">DEGREES( ACOS( COS(O$213)  *  COS($A223)))</f>
        <v>46.9204828581291</v>
      </c>
      <c r="P223" s="214" t="n">
        <f aca="false">DEGREES( ACOS( COS(P$213)  *  COS($A223)))</f>
        <v>45</v>
      </c>
      <c r="Q223" s="210" t="n">
        <f aca="false">DEGREES( ACOS( COS(Q$213)  *  COS($A223)))</f>
        <v>46.9204828581291</v>
      </c>
      <c r="R223" s="210" t="n">
        <f aca="false">DEGREES( ACOS( COS(R$213)  *  COS($A223)))</f>
        <v>52.238756092965</v>
      </c>
      <c r="S223" s="210" t="n">
        <f aca="false">DEGREES( ACOS( COS(S$213)  *  COS($A223)))</f>
        <v>60</v>
      </c>
      <c r="T223" s="210" t="n">
        <f aca="false">DEGREES( ACOS( COS(T$213)  *  COS($A223)))</f>
        <v>69.2951889453646</v>
      </c>
      <c r="U223" s="210" t="n">
        <f aca="false">DEGREES( ACOS( COS(U$213)  *  COS($A223)))</f>
        <v>79.4547094105004</v>
      </c>
      <c r="V223" s="214" t="n">
        <f aca="false">DEGREES( ACOS( COS(V$213)  *  COS($A223)))</f>
        <v>90</v>
      </c>
      <c r="W223" s="210" t="n">
        <f aca="false">DEGREES( ACOS( COS(W$213)  *  COS($A223)))</f>
        <v>100.5452905895</v>
      </c>
      <c r="X223" s="210" t="n">
        <f aca="false">DEGREES( ACOS( COS(X$213)  *  COS($A223)))</f>
        <v>110.704811054635</v>
      </c>
      <c r="Y223" s="210" t="n">
        <f aca="false">DEGREES( ACOS( COS(Y$213)  *  COS($A223)))</f>
        <v>120</v>
      </c>
      <c r="Z223" s="210" t="n">
        <f aca="false">DEGREES( ACOS( COS(Z$213)  *  COS($A223)))</f>
        <v>127.761243907035</v>
      </c>
      <c r="AA223" s="210" t="n">
        <f aca="false">DEGREES( ACOS( COS(AA$213)  *  COS($A223)))</f>
        <v>133.079517141871</v>
      </c>
      <c r="AB223" s="214" t="n">
        <f aca="false">DEGREES( ACOS( COS(AB$213)  *  COS($A223)))</f>
        <v>134.999999127335</v>
      </c>
      <c r="AC223" s="195" t="n">
        <f aca="false">DEGREES( ACOS( COS(AC$213)  *  COS($A223)))</f>
        <v>135</v>
      </c>
      <c r="AD223" s="195" t="n">
        <f aca="false">DEGREES( ACOS( COS(AD$213)  *  COS($A223)))</f>
        <v>135</v>
      </c>
      <c r="AE223" s="1"/>
      <c r="AF223" s="1"/>
      <c r="AG223" s="1"/>
      <c r="AH223" s="1"/>
      <c r="AI223" s="1"/>
      <c r="AJ223" s="1"/>
      <c r="AK223" s="1"/>
      <c r="AL223" s="1"/>
    </row>
    <row r="224" customFormat="false" ht="12.75" hidden="false" customHeight="true" outlineLevel="0" collapsed="false">
      <c r="A224" s="192" t="n">
        <f aca="false">RADIANS(MOD(B224-180,-360)+180)</f>
        <v>2.61799387799149</v>
      </c>
      <c r="B224" s="182" t="n">
        <v>150</v>
      </c>
      <c r="C224" s="1"/>
      <c r="D224" s="214" t="n">
        <f aca="false">DEGREES( ACOS( COS(D$213)  *  COS($A224)))</f>
        <v>149.999999984885</v>
      </c>
      <c r="E224" s="210" t="n">
        <f aca="false">DEGREES( ACOS( COS(E$213)  *  COS($A224)))</f>
        <v>146.774057796712</v>
      </c>
      <c r="F224" s="210" t="n">
        <f aca="false">DEGREES( ACOS( COS(F$213)  *  COS($A224)))</f>
        <v>138.590377890729</v>
      </c>
      <c r="G224" s="210" t="n">
        <f aca="false">DEGREES( ACOS( COS(G$213)  *  COS($A224)))</f>
        <v>127.761243907035</v>
      </c>
      <c r="H224" s="210" t="n">
        <f aca="false">DEGREES( ACOS( COS(H$213)  *  COS($A224)))</f>
        <v>115.658906273255</v>
      </c>
      <c r="I224" s="210" t="n">
        <f aca="false">DEGREES( ACOS( COS(I$213)  *  COS($A224)))</f>
        <v>102.952539642222</v>
      </c>
      <c r="J224" s="214" t="n">
        <f aca="false">DEGREES( ACOS( COS(J$213)  *  COS($A224)))</f>
        <v>90</v>
      </c>
      <c r="K224" s="210" t="n">
        <f aca="false">DEGREES( ACOS( COS(K$213)  *  COS($A224)))</f>
        <v>77.0474603577776</v>
      </c>
      <c r="L224" s="210" t="n">
        <f aca="false">DEGREES( ACOS( COS(L$213)  *  COS($A224)))</f>
        <v>64.3410937267447</v>
      </c>
      <c r="M224" s="210" t="n">
        <f aca="false">DEGREES( ACOS( COS(M$213)  *  COS($A224)))</f>
        <v>52.238756092965</v>
      </c>
      <c r="N224" s="210" t="n">
        <f aca="false">DEGREES( ACOS( COS(N$213)  *  COS($A224)))</f>
        <v>41.4096221092709</v>
      </c>
      <c r="O224" s="210" t="n">
        <f aca="false">DEGREES( ACOS( COS(O$213)  *  COS($A224)))</f>
        <v>33.2259422032876</v>
      </c>
      <c r="P224" s="214" t="n">
        <f aca="false">DEGREES( ACOS( COS(P$213)  *  COS($A224)))</f>
        <v>30</v>
      </c>
      <c r="Q224" s="210" t="n">
        <f aca="false">DEGREES( ACOS( COS(Q$213)  *  COS($A224)))</f>
        <v>33.2259422032876</v>
      </c>
      <c r="R224" s="210" t="n">
        <f aca="false">DEGREES( ACOS( COS(R$213)  *  COS($A224)))</f>
        <v>41.4096221092709</v>
      </c>
      <c r="S224" s="210" t="n">
        <f aca="false">DEGREES( ACOS( COS(S$213)  *  COS($A224)))</f>
        <v>52.238756092965</v>
      </c>
      <c r="T224" s="210" t="n">
        <f aca="false">DEGREES( ACOS( COS(T$213)  *  COS($A224)))</f>
        <v>64.3410937267447</v>
      </c>
      <c r="U224" s="210" t="n">
        <f aca="false">DEGREES( ACOS( COS(U$213)  *  COS($A224)))</f>
        <v>77.0474603577776</v>
      </c>
      <c r="V224" s="214" t="n">
        <f aca="false">DEGREES( ACOS( COS(V$213)  *  COS($A224)))</f>
        <v>90</v>
      </c>
      <c r="W224" s="210" t="n">
        <f aca="false">DEGREES( ACOS( COS(W$213)  *  COS($A224)))</f>
        <v>102.952539642222</v>
      </c>
      <c r="X224" s="210" t="n">
        <f aca="false">DEGREES( ACOS( COS(X$213)  *  COS($A224)))</f>
        <v>115.658906273255</v>
      </c>
      <c r="Y224" s="210" t="n">
        <f aca="false">DEGREES( ACOS( COS(Y$213)  *  COS($A224)))</f>
        <v>127.761243907035</v>
      </c>
      <c r="Z224" s="210" t="n">
        <f aca="false">DEGREES( ACOS( COS(Z$213)  *  COS($A224)))</f>
        <v>138.590377890729</v>
      </c>
      <c r="AA224" s="210" t="n">
        <f aca="false">DEGREES( ACOS( COS(AA$213)  *  COS($A224)))</f>
        <v>146.774057796712</v>
      </c>
      <c r="AB224" s="214" t="n">
        <f aca="false">DEGREES( ACOS( COS(AB$213)  *  COS($A224)))</f>
        <v>149.999998488501</v>
      </c>
      <c r="AC224" s="195" t="n">
        <f aca="false">DEGREES( ACOS( COS(AC$213)  *  COS($A224)))</f>
        <v>150</v>
      </c>
      <c r="AD224" s="195" t="n">
        <f aca="false">DEGREES( ACOS( COS(AD$213)  *  COS($A224)))</f>
        <v>150</v>
      </c>
      <c r="AE224" s="1"/>
      <c r="AF224" s="1"/>
      <c r="AG224" s="1"/>
      <c r="AH224" s="1"/>
      <c r="AI224" s="1"/>
      <c r="AJ224" s="1"/>
      <c r="AK224" s="1"/>
      <c r="AL224" s="1"/>
    </row>
    <row r="225" customFormat="false" ht="12.75" hidden="false" customHeight="true" outlineLevel="0" collapsed="false">
      <c r="A225" s="192" t="n">
        <f aca="false">RADIANS(MOD(B225-180,-360)+180)</f>
        <v>2.87979326579064</v>
      </c>
      <c r="B225" s="182" t="n">
        <v>165</v>
      </c>
      <c r="C225" s="1"/>
      <c r="D225" s="214" t="n">
        <f aca="false">DEGREES( ACOS( COS(D$213)  *  COS($A225)))</f>
        <v>164.999999967432</v>
      </c>
      <c r="E225" s="210" t="n">
        <f aca="false">DEGREES( ACOS( COS(E$213)  *  COS($A225)))</f>
        <v>158.909418821001</v>
      </c>
      <c r="F225" s="210" t="n">
        <f aca="false">DEGREES( ACOS( COS(F$213)  *  COS($A225)))</f>
        <v>146.774057796712</v>
      </c>
      <c r="G225" s="210" t="n">
        <f aca="false">DEGREES( ACOS( COS(G$213)  *  COS($A225)))</f>
        <v>133.079517141871</v>
      </c>
      <c r="H225" s="210" t="n">
        <f aca="false">DEGREES( ACOS( COS(H$213)  *  COS($A225)))</f>
        <v>118.879094017428</v>
      </c>
      <c r="I225" s="210" t="n">
        <f aca="false">DEGREES( ACOS( COS(I$213)  *  COS($A225)))</f>
        <v>104.47751218593</v>
      </c>
      <c r="J225" s="214" t="n">
        <f aca="false">DEGREES( ACOS( COS(J$213)  *  COS($A225)))</f>
        <v>90</v>
      </c>
      <c r="K225" s="210" t="n">
        <f aca="false">DEGREES( ACOS( COS(K$213)  *  COS($A225)))</f>
        <v>75.5224878140701</v>
      </c>
      <c r="L225" s="210" t="n">
        <f aca="false">DEGREES( ACOS( COS(L$213)  *  COS($A225)))</f>
        <v>61.1209059825724</v>
      </c>
      <c r="M225" s="210" t="n">
        <f aca="false">DEGREES( ACOS( COS(M$213)  *  COS($A225)))</f>
        <v>46.9204828581291</v>
      </c>
      <c r="N225" s="210" t="n">
        <f aca="false">DEGREES( ACOS( COS(N$213)  *  COS($A225)))</f>
        <v>33.2259422032876</v>
      </c>
      <c r="O225" s="210" t="n">
        <f aca="false">DEGREES( ACOS( COS(O$213)  *  COS($A225)))</f>
        <v>21.0905811789991</v>
      </c>
      <c r="P225" s="214" t="n">
        <f aca="false">DEGREES( ACOS( COS(P$213)  *  COS($A225)))</f>
        <v>15</v>
      </c>
      <c r="Q225" s="210" t="n">
        <f aca="false">DEGREES( ACOS( COS(Q$213)  *  COS($A225)))</f>
        <v>21.0905811789991</v>
      </c>
      <c r="R225" s="210" t="n">
        <f aca="false">DEGREES( ACOS( COS(R$213)  *  COS($A225)))</f>
        <v>33.2259422032876</v>
      </c>
      <c r="S225" s="210" t="n">
        <f aca="false">DEGREES( ACOS( COS(S$213)  *  COS($A225)))</f>
        <v>46.9204828581291</v>
      </c>
      <c r="T225" s="210" t="n">
        <f aca="false">DEGREES( ACOS( COS(T$213)  *  COS($A225)))</f>
        <v>61.1209059825724</v>
      </c>
      <c r="U225" s="210" t="n">
        <f aca="false">DEGREES( ACOS( COS(U$213)  *  COS($A225)))</f>
        <v>75.5224878140701</v>
      </c>
      <c r="V225" s="214" t="n">
        <f aca="false">DEGREES( ACOS( COS(V$213)  *  COS($A225)))</f>
        <v>90</v>
      </c>
      <c r="W225" s="210" t="n">
        <f aca="false">DEGREES( ACOS( COS(W$213)  *  COS($A225)))</f>
        <v>104.47751218593</v>
      </c>
      <c r="X225" s="210" t="n">
        <f aca="false">DEGREES( ACOS( COS(X$213)  *  COS($A225)))</f>
        <v>118.879094017428</v>
      </c>
      <c r="Y225" s="210" t="n">
        <f aca="false">DEGREES( ACOS( COS(Y$213)  *  COS($A225)))</f>
        <v>133.079517141871</v>
      </c>
      <c r="Z225" s="210" t="n">
        <f aca="false">DEGREES( ACOS( COS(Z$213)  *  COS($A225)))</f>
        <v>146.774057796712</v>
      </c>
      <c r="AA225" s="210" t="n">
        <f aca="false">DEGREES( ACOS( COS(AA$213)  *  COS($A225)))</f>
        <v>158.909418821001</v>
      </c>
      <c r="AB225" s="214" t="n">
        <f aca="false">DEGREES( ACOS( COS(AB$213)  *  COS($A225)))</f>
        <v>164.999996743172</v>
      </c>
      <c r="AC225" s="195" t="n">
        <f aca="false">DEGREES( ACOS( COS(AC$213)  *  COS($A225)))</f>
        <v>165</v>
      </c>
      <c r="AD225" s="195" t="n">
        <f aca="false">DEGREES( ACOS( COS(AD$213)  *  COS($A225)))</f>
        <v>165</v>
      </c>
      <c r="AE225" s="1"/>
      <c r="AF225" s="1"/>
      <c r="AG225" s="1"/>
      <c r="AH225" s="1"/>
      <c r="AI225" s="1"/>
      <c r="AJ225" s="1"/>
      <c r="AK225" s="1"/>
      <c r="AL225" s="1"/>
    </row>
    <row r="226" customFormat="false" ht="12.75" hidden="false" customHeight="true" outlineLevel="0" collapsed="false">
      <c r="A226" s="192" t="n">
        <f aca="false">RADIANS(MOD(B226-180,-360)+180)</f>
        <v>3.14159265358979</v>
      </c>
      <c r="B226" s="182" t="n">
        <v>180</v>
      </c>
      <c r="C226" s="1"/>
      <c r="D226" s="214" t="n">
        <f aca="false">DEGREES( ACOS( COS(D$213)  *  COS($A226)))</f>
        <v>179.998999999963</v>
      </c>
      <c r="E226" s="214" t="n">
        <f aca="false">DEGREES( ACOS( COS(E$213)  *  COS($A226)))</f>
        <v>165</v>
      </c>
      <c r="F226" s="214" t="n">
        <f aca="false">DEGREES( ACOS( COS(F$213)  *  COS($A226)))</f>
        <v>150</v>
      </c>
      <c r="G226" s="214" t="n">
        <f aca="false">DEGREES( ACOS( COS(G$213)  *  COS($A226)))</f>
        <v>135</v>
      </c>
      <c r="H226" s="214" t="n">
        <f aca="false">DEGREES( ACOS( COS(H$213)  *  COS($A226)))</f>
        <v>120</v>
      </c>
      <c r="I226" s="214" t="n">
        <f aca="false">DEGREES( ACOS( COS(I$213)  *  COS($A226)))</f>
        <v>105</v>
      </c>
      <c r="J226" s="214" t="n">
        <f aca="false">DEGREES( ACOS( COS(J$213)  *  COS($A226)))</f>
        <v>90</v>
      </c>
      <c r="K226" s="214" t="n">
        <f aca="false">DEGREES( ACOS( COS(K$213)  *  COS($A226)))</f>
        <v>75</v>
      </c>
      <c r="L226" s="214" t="n">
        <f aca="false">DEGREES( ACOS( COS(L$213)  *  COS($A226)))</f>
        <v>60</v>
      </c>
      <c r="M226" s="214" t="n">
        <f aca="false">DEGREES( ACOS( COS(M$213)  *  COS($A226)))</f>
        <v>45</v>
      </c>
      <c r="N226" s="214" t="n">
        <f aca="false">DEGREES( ACOS( COS(N$213)  *  COS($A226)))</f>
        <v>30</v>
      </c>
      <c r="O226" s="214" t="n">
        <f aca="false">DEGREES( ACOS( COS(O$213)  *  COS($A226)))</f>
        <v>15</v>
      </c>
      <c r="P226" s="214" t="n">
        <f aca="false">DEGREES( ACOS( COS(P$213)  *  COS($A226)))</f>
        <v>0</v>
      </c>
      <c r="Q226" s="214" t="n">
        <f aca="false">DEGREES( ACOS( COS(Q$213)  *  COS($A226)))</f>
        <v>15</v>
      </c>
      <c r="R226" s="214" t="n">
        <f aca="false">DEGREES( ACOS( COS(R$213)  *  COS($A226)))</f>
        <v>30</v>
      </c>
      <c r="S226" s="214" t="n">
        <f aca="false">DEGREES( ACOS( COS(S$213)  *  COS($A226)))</f>
        <v>45</v>
      </c>
      <c r="T226" s="214" t="n">
        <f aca="false">DEGREES( ACOS( COS(T$213)  *  COS($A226)))</f>
        <v>60</v>
      </c>
      <c r="U226" s="214" t="n">
        <f aca="false">DEGREES( ACOS( COS(U$213)  *  COS($A226)))</f>
        <v>75</v>
      </c>
      <c r="V226" s="214" t="n">
        <f aca="false">DEGREES( ACOS( COS(V$213)  *  COS($A226)))</f>
        <v>90</v>
      </c>
      <c r="W226" s="214" t="n">
        <f aca="false">DEGREES( ACOS( COS(W$213)  *  COS($A226)))</f>
        <v>105</v>
      </c>
      <c r="X226" s="214" t="n">
        <f aca="false">DEGREES( ACOS( COS(X$213)  *  COS($A226)))</f>
        <v>120</v>
      </c>
      <c r="Y226" s="214" t="n">
        <f aca="false">DEGREES( ACOS( COS(Y$213)  *  COS($A226)))</f>
        <v>135</v>
      </c>
      <c r="Z226" s="214" t="n">
        <f aca="false">DEGREES( ACOS( COS(Z$213)  *  COS($A226)))</f>
        <v>150</v>
      </c>
      <c r="AA226" s="214" t="n">
        <f aca="false">DEGREES( ACOS( COS(AA$213)  *  COS($A226)))</f>
        <v>165</v>
      </c>
      <c r="AB226" s="214" t="n">
        <f aca="false">DEGREES( ACOS( COS(AB$213)  *  COS($A226)))</f>
        <v>179.990000000017</v>
      </c>
      <c r="AC226" s="195" t="n">
        <f aca="false">DEGREES( ACOS( COS(AC$213)  *  COS($A226)))</f>
        <v>180</v>
      </c>
      <c r="AD226" s="195" t="n">
        <f aca="false">DEGREES( ACOS( COS(AD$213)  *  COS($A226)))</f>
        <v>180</v>
      </c>
      <c r="AE226" s="1"/>
      <c r="AF226" s="1"/>
      <c r="AG226" s="1"/>
      <c r="AH226" s="1"/>
      <c r="AI226" s="1"/>
      <c r="AJ226" s="1"/>
      <c r="AK226" s="1"/>
      <c r="AL226" s="1"/>
    </row>
    <row r="227" customFormat="false" ht="12.75" hidden="false" customHeight="true" outlineLevel="0" collapsed="false">
      <c r="A227" s="193" t="n">
        <f aca="false">RADIANS(MOD(B227-180,-360)+180)</f>
        <v>-2.87979326579064</v>
      </c>
      <c r="B227" s="182" t="n">
        <v>195</v>
      </c>
      <c r="C227" s="1"/>
      <c r="D227" s="214" t="n">
        <f aca="false">DEGREES( ACOS( COS(D$213)  *  COS($A227)))</f>
        <v>164.999999967432</v>
      </c>
      <c r="E227" s="210" t="n">
        <f aca="false">DEGREES( ACOS( COS(E$213)  *  COS($A227)))</f>
        <v>158.909418821001</v>
      </c>
      <c r="F227" s="210" t="n">
        <f aca="false">DEGREES( ACOS( COS(F$213)  *  COS($A227)))</f>
        <v>146.774057796712</v>
      </c>
      <c r="G227" s="210" t="n">
        <f aca="false">DEGREES( ACOS( COS(G$213)  *  COS($A227)))</f>
        <v>133.079517141871</v>
      </c>
      <c r="H227" s="210" t="n">
        <f aca="false">DEGREES( ACOS( COS(H$213)  *  COS($A227)))</f>
        <v>118.879094017428</v>
      </c>
      <c r="I227" s="210" t="n">
        <f aca="false">DEGREES( ACOS( COS(I$213)  *  COS($A227)))</f>
        <v>104.47751218593</v>
      </c>
      <c r="J227" s="214" t="n">
        <f aca="false">DEGREES( ACOS( COS(J$213)  *  COS($A227)))</f>
        <v>90</v>
      </c>
      <c r="K227" s="210" t="n">
        <f aca="false">DEGREES( ACOS( COS(K$213)  *  COS($A227)))</f>
        <v>75.5224878140701</v>
      </c>
      <c r="L227" s="210" t="n">
        <f aca="false">DEGREES( ACOS( COS(L$213)  *  COS($A227)))</f>
        <v>61.1209059825724</v>
      </c>
      <c r="M227" s="210" t="n">
        <f aca="false">DEGREES( ACOS( COS(M$213)  *  COS($A227)))</f>
        <v>46.9204828581291</v>
      </c>
      <c r="N227" s="210" t="n">
        <f aca="false">DEGREES( ACOS( COS(N$213)  *  COS($A227)))</f>
        <v>33.2259422032876</v>
      </c>
      <c r="O227" s="210" t="n">
        <f aca="false">DEGREES( ACOS( COS(O$213)  *  COS($A227)))</f>
        <v>21.0905811789991</v>
      </c>
      <c r="P227" s="214" t="n">
        <f aca="false">DEGREES( ACOS( COS(P$213)  *  COS($A227)))</f>
        <v>15</v>
      </c>
      <c r="Q227" s="210" t="n">
        <f aca="false">DEGREES( ACOS( COS(Q$213)  *  COS($A227)))</f>
        <v>21.0905811789991</v>
      </c>
      <c r="R227" s="210" t="n">
        <f aca="false">DEGREES( ACOS( COS(R$213)  *  COS($A227)))</f>
        <v>33.2259422032876</v>
      </c>
      <c r="S227" s="210" t="n">
        <f aca="false">DEGREES( ACOS( COS(S$213)  *  COS($A227)))</f>
        <v>46.9204828581291</v>
      </c>
      <c r="T227" s="210" t="n">
        <f aca="false">DEGREES( ACOS( COS(T$213)  *  COS($A227)))</f>
        <v>61.1209059825724</v>
      </c>
      <c r="U227" s="210" t="n">
        <f aca="false">DEGREES( ACOS( COS(U$213)  *  COS($A227)))</f>
        <v>75.5224878140701</v>
      </c>
      <c r="V227" s="214" t="n">
        <f aca="false">DEGREES( ACOS( COS(V$213)  *  COS($A227)))</f>
        <v>90</v>
      </c>
      <c r="W227" s="210" t="n">
        <f aca="false">DEGREES( ACOS( COS(W$213)  *  COS($A227)))</f>
        <v>104.47751218593</v>
      </c>
      <c r="X227" s="210" t="n">
        <f aca="false">DEGREES( ACOS( COS(X$213)  *  COS($A227)))</f>
        <v>118.879094017428</v>
      </c>
      <c r="Y227" s="210" t="n">
        <f aca="false">DEGREES( ACOS( COS(Y$213)  *  COS($A227)))</f>
        <v>133.079517141871</v>
      </c>
      <c r="Z227" s="210" t="n">
        <f aca="false">DEGREES( ACOS( COS(Z$213)  *  COS($A227)))</f>
        <v>146.774057796712</v>
      </c>
      <c r="AA227" s="210" t="n">
        <f aca="false">DEGREES( ACOS( COS(AA$213)  *  COS($A227)))</f>
        <v>158.909418821001</v>
      </c>
      <c r="AB227" s="214" t="n">
        <f aca="false">DEGREES( ACOS( COS(AB$213)  *  COS($A227)))</f>
        <v>164.999996743172</v>
      </c>
      <c r="AC227" s="195" t="n">
        <f aca="false">DEGREES( ACOS( COS(AC$213)  *  COS($A227)))</f>
        <v>165</v>
      </c>
      <c r="AD227" s="195" t="n">
        <f aca="false">DEGREES( ACOS( COS(AD$213)  *  COS($A227)))</f>
        <v>165</v>
      </c>
      <c r="AE227" s="1"/>
      <c r="AF227" s="1"/>
      <c r="AG227" s="1"/>
      <c r="AH227" s="1"/>
      <c r="AI227" s="1"/>
      <c r="AJ227" s="1"/>
      <c r="AK227" s="1"/>
      <c r="AL227" s="1"/>
    </row>
    <row r="228" customFormat="false" ht="12.75" hidden="false" customHeight="true" outlineLevel="0" collapsed="false">
      <c r="A228" s="193" t="n">
        <f aca="false">RADIANS(MOD(B228-180,-360)+180)</f>
        <v>-2.61799387799149</v>
      </c>
      <c r="B228" s="182" t="n">
        <v>210</v>
      </c>
      <c r="C228" s="1"/>
      <c r="D228" s="214" t="n">
        <f aca="false">DEGREES( ACOS( COS(D$213)  *  COS($A228)))</f>
        <v>149.999999984885</v>
      </c>
      <c r="E228" s="210" t="n">
        <f aca="false">DEGREES( ACOS( COS(E$213)  *  COS($A228)))</f>
        <v>146.774057796712</v>
      </c>
      <c r="F228" s="210" t="n">
        <f aca="false">DEGREES( ACOS( COS(F$213)  *  COS($A228)))</f>
        <v>138.590377890729</v>
      </c>
      <c r="G228" s="210" t="n">
        <f aca="false">DEGREES( ACOS( COS(G$213)  *  COS($A228)))</f>
        <v>127.761243907035</v>
      </c>
      <c r="H228" s="210" t="n">
        <f aca="false">DEGREES( ACOS( COS(H$213)  *  COS($A228)))</f>
        <v>115.658906273255</v>
      </c>
      <c r="I228" s="210" t="n">
        <f aca="false">DEGREES( ACOS( COS(I$213)  *  COS($A228)))</f>
        <v>102.952539642222</v>
      </c>
      <c r="J228" s="214" t="n">
        <f aca="false">DEGREES( ACOS( COS(J$213)  *  COS($A228)))</f>
        <v>90</v>
      </c>
      <c r="K228" s="210" t="n">
        <f aca="false">DEGREES( ACOS( COS(K$213)  *  COS($A228)))</f>
        <v>77.0474603577776</v>
      </c>
      <c r="L228" s="210" t="n">
        <f aca="false">DEGREES( ACOS( COS(L$213)  *  COS($A228)))</f>
        <v>64.3410937267447</v>
      </c>
      <c r="M228" s="210" t="n">
        <f aca="false">DEGREES( ACOS( COS(M$213)  *  COS($A228)))</f>
        <v>52.238756092965</v>
      </c>
      <c r="N228" s="210" t="n">
        <f aca="false">DEGREES( ACOS( COS(N$213)  *  COS($A228)))</f>
        <v>41.4096221092709</v>
      </c>
      <c r="O228" s="210" t="n">
        <f aca="false">DEGREES( ACOS( COS(O$213)  *  COS($A228)))</f>
        <v>33.2259422032876</v>
      </c>
      <c r="P228" s="214" t="n">
        <f aca="false">DEGREES( ACOS( COS(P$213)  *  COS($A228)))</f>
        <v>30</v>
      </c>
      <c r="Q228" s="210" t="n">
        <f aca="false">DEGREES( ACOS( COS(Q$213)  *  COS($A228)))</f>
        <v>33.2259422032876</v>
      </c>
      <c r="R228" s="210" t="n">
        <f aca="false">DEGREES( ACOS( COS(R$213)  *  COS($A228)))</f>
        <v>41.4096221092709</v>
      </c>
      <c r="S228" s="210" t="n">
        <f aca="false">DEGREES( ACOS( COS(S$213)  *  COS($A228)))</f>
        <v>52.238756092965</v>
      </c>
      <c r="T228" s="210" t="n">
        <f aca="false">DEGREES( ACOS( COS(T$213)  *  COS($A228)))</f>
        <v>64.3410937267447</v>
      </c>
      <c r="U228" s="210" t="n">
        <f aca="false">DEGREES( ACOS( COS(U$213)  *  COS($A228)))</f>
        <v>77.0474603577776</v>
      </c>
      <c r="V228" s="214" t="n">
        <f aca="false">DEGREES( ACOS( COS(V$213)  *  COS($A228)))</f>
        <v>90</v>
      </c>
      <c r="W228" s="210" t="n">
        <f aca="false">DEGREES( ACOS( COS(W$213)  *  COS($A228)))</f>
        <v>102.952539642222</v>
      </c>
      <c r="X228" s="210" t="n">
        <f aca="false">DEGREES( ACOS( COS(X$213)  *  COS($A228)))</f>
        <v>115.658906273255</v>
      </c>
      <c r="Y228" s="210" t="n">
        <f aca="false">DEGREES( ACOS( COS(Y$213)  *  COS($A228)))</f>
        <v>127.761243907035</v>
      </c>
      <c r="Z228" s="210" t="n">
        <f aca="false">DEGREES( ACOS( COS(Z$213)  *  COS($A228)))</f>
        <v>138.590377890729</v>
      </c>
      <c r="AA228" s="210" t="n">
        <f aca="false">DEGREES( ACOS( COS(AA$213)  *  COS($A228)))</f>
        <v>146.774057796712</v>
      </c>
      <c r="AB228" s="214" t="n">
        <f aca="false">DEGREES( ACOS( COS(AB$213)  *  COS($A228)))</f>
        <v>149.999998488501</v>
      </c>
      <c r="AC228" s="195" t="n">
        <f aca="false">DEGREES( ACOS( COS(AC$213)  *  COS($A228)))</f>
        <v>150</v>
      </c>
      <c r="AD228" s="195" t="n">
        <f aca="false">DEGREES( ACOS( COS(AD$213)  *  COS($A228)))</f>
        <v>150</v>
      </c>
      <c r="AE228" s="1"/>
      <c r="AF228" s="1"/>
      <c r="AG228" s="1"/>
      <c r="AH228" s="1"/>
      <c r="AI228" s="1"/>
      <c r="AJ228" s="1"/>
      <c r="AK228" s="1"/>
      <c r="AL228" s="1"/>
    </row>
    <row r="229" customFormat="false" ht="12.75" hidden="false" customHeight="true" outlineLevel="0" collapsed="false">
      <c r="A229" s="193" t="n">
        <f aca="false">RADIANS(MOD(B229-180,-360)+180)</f>
        <v>-2.35619449019234</v>
      </c>
      <c r="B229" s="182" t="n">
        <v>225</v>
      </c>
      <c r="C229" s="1"/>
      <c r="D229" s="214" t="n">
        <f aca="false">DEGREES( ACOS( COS(D$213)  *  COS($A229)))</f>
        <v>134.999999991273</v>
      </c>
      <c r="E229" s="210" t="n">
        <f aca="false">DEGREES( ACOS( COS(E$213)  *  COS($A229)))</f>
        <v>133.079517141871</v>
      </c>
      <c r="F229" s="210" t="n">
        <f aca="false">DEGREES( ACOS( COS(F$213)  *  COS($A229)))</f>
        <v>127.761243907035</v>
      </c>
      <c r="G229" s="210" t="n">
        <f aca="false">DEGREES( ACOS( COS(G$213)  *  COS($A229)))</f>
        <v>120</v>
      </c>
      <c r="H229" s="210" t="n">
        <f aca="false">DEGREES( ACOS( COS(H$213)  *  COS($A229)))</f>
        <v>110.704811054635</v>
      </c>
      <c r="I229" s="210" t="n">
        <f aca="false">DEGREES( ACOS( COS(I$213)  *  COS($A229)))</f>
        <v>100.5452905895</v>
      </c>
      <c r="J229" s="214" t="n">
        <f aca="false">DEGREES( ACOS( COS(J$213)  *  COS($A229)))</f>
        <v>90</v>
      </c>
      <c r="K229" s="210" t="n">
        <f aca="false">DEGREES( ACOS( COS(K$213)  *  COS($A229)))</f>
        <v>79.4547094105004</v>
      </c>
      <c r="L229" s="210" t="n">
        <f aca="false">DEGREES( ACOS( COS(L$213)  *  COS($A229)))</f>
        <v>69.2951889453646</v>
      </c>
      <c r="M229" s="210" t="n">
        <f aca="false">DEGREES( ACOS( COS(M$213)  *  COS($A229)))</f>
        <v>60</v>
      </c>
      <c r="N229" s="210" t="n">
        <f aca="false">DEGREES( ACOS( COS(N$213)  *  COS($A229)))</f>
        <v>52.238756092965</v>
      </c>
      <c r="O229" s="210" t="n">
        <f aca="false">DEGREES( ACOS( COS(O$213)  *  COS($A229)))</f>
        <v>46.9204828581291</v>
      </c>
      <c r="P229" s="214" t="n">
        <f aca="false">DEGREES( ACOS( COS(P$213)  *  COS($A229)))</f>
        <v>45</v>
      </c>
      <c r="Q229" s="210" t="n">
        <f aca="false">DEGREES( ACOS( COS(Q$213)  *  COS($A229)))</f>
        <v>46.9204828581291</v>
      </c>
      <c r="R229" s="210" t="n">
        <f aca="false">DEGREES( ACOS( COS(R$213)  *  COS($A229)))</f>
        <v>52.238756092965</v>
      </c>
      <c r="S229" s="210" t="n">
        <f aca="false">DEGREES( ACOS( COS(S$213)  *  COS($A229)))</f>
        <v>60</v>
      </c>
      <c r="T229" s="210" t="n">
        <f aca="false">DEGREES( ACOS( COS(T$213)  *  COS($A229)))</f>
        <v>69.2951889453646</v>
      </c>
      <c r="U229" s="210" t="n">
        <f aca="false">DEGREES( ACOS( COS(U$213)  *  COS($A229)))</f>
        <v>79.4547094105004</v>
      </c>
      <c r="V229" s="214" t="n">
        <f aca="false">DEGREES( ACOS( COS(V$213)  *  COS($A229)))</f>
        <v>90</v>
      </c>
      <c r="W229" s="210" t="n">
        <f aca="false">DEGREES( ACOS( COS(W$213)  *  COS($A229)))</f>
        <v>100.5452905895</v>
      </c>
      <c r="X229" s="210" t="n">
        <f aca="false">DEGREES( ACOS( COS(X$213)  *  COS($A229)))</f>
        <v>110.704811054635</v>
      </c>
      <c r="Y229" s="210" t="n">
        <f aca="false">DEGREES( ACOS( COS(Y$213)  *  COS($A229)))</f>
        <v>120</v>
      </c>
      <c r="Z229" s="210" t="n">
        <f aca="false">DEGREES( ACOS( COS(Z$213)  *  COS($A229)))</f>
        <v>127.761243907035</v>
      </c>
      <c r="AA229" s="210" t="n">
        <f aca="false">DEGREES( ACOS( COS(AA$213)  *  COS($A229)))</f>
        <v>133.079517141871</v>
      </c>
      <c r="AB229" s="214" t="n">
        <f aca="false">DEGREES( ACOS( COS(AB$213)  *  COS($A229)))</f>
        <v>134.999999127335</v>
      </c>
      <c r="AC229" s="195" t="n">
        <f aca="false">DEGREES( ACOS( COS(AC$213)  *  COS($A229)))</f>
        <v>135</v>
      </c>
      <c r="AD229" s="195" t="n">
        <f aca="false">DEGREES( ACOS( COS(AD$213)  *  COS($A229)))</f>
        <v>135</v>
      </c>
      <c r="AE229" s="1"/>
      <c r="AF229" s="1"/>
      <c r="AG229" s="1"/>
      <c r="AH229" s="1"/>
      <c r="AI229" s="1"/>
      <c r="AJ229" s="1"/>
      <c r="AK229" s="1"/>
      <c r="AL229" s="1"/>
    </row>
    <row r="230" customFormat="false" ht="12.75" hidden="false" customHeight="true" outlineLevel="0" collapsed="false">
      <c r="A230" s="193" t="n">
        <f aca="false">RADIANS(MOD(B230-180,-360)+180)</f>
        <v>-2.0943951023932</v>
      </c>
      <c r="B230" s="182" t="n">
        <v>240</v>
      </c>
      <c r="C230" s="1"/>
      <c r="D230" s="214" t="n">
        <f aca="false">DEGREES( ACOS( COS(D$213)  *  COS($A230)))</f>
        <v>119.999999994962</v>
      </c>
      <c r="E230" s="210" t="n">
        <f aca="false">DEGREES( ACOS( COS(E$213)  *  COS($A230)))</f>
        <v>118.879094017428</v>
      </c>
      <c r="F230" s="210" t="n">
        <f aca="false">DEGREES( ACOS( COS(F$213)  *  COS($A230)))</f>
        <v>115.658906273255</v>
      </c>
      <c r="G230" s="210" t="n">
        <f aca="false">DEGREES( ACOS( COS(G$213)  *  COS($A230)))</f>
        <v>110.704811054635</v>
      </c>
      <c r="H230" s="210" t="n">
        <f aca="false">DEGREES( ACOS( COS(H$213)  *  COS($A230)))</f>
        <v>104.47751218593</v>
      </c>
      <c r="I230" s="210" t="n">
        <f aca="false">DEGREES( ACOS( COS(I$213)  *  COS($A230)))</f>
        <v>97.4354722261319</v>
      </c>
      <c r="J230" s="214" t="n">
        <f aca="false">DEGREES( ACOS( COS(J$213)  *  COS($A230)))</f>
        <v>90</v>
      </c>
      <c r="K230" s="210" t="n">
        <f aca="false">DEGREES( ACOS( COS(K$213)  *  COS($A230)))</f>
        <v>82.5645277738682</v>
      </c>
      <c r="L230" s="210" t="n">
        <f aca="false">DEGREES( ACOS( COS(L$213)  *  COS($A230)))</f>
        <v>75.5224878140701</v>
      </c>
      <c r="M230" s="210" t="n">
        <f aca="false">DEGREES( ACOS( COS(M$213)  *  COS($A230)))</f>
        <v>69.2951889453646</v>
      </c>
      <c r="N230" s="210" t="n">
        <f aca="false">DEGREES( ACOS( COS(N$213)  *  COS($A230)))</f>
        <v>64.3410937267447</v>
      </c>
      <c r="O230" s="210" t="n">
        <f aca="false">DEGREES( ACOS( COS(O$213)  *  COS($A230)))</f>
        <v>61.1209059825724</v>
      </c>
      <c r="P230" s="214" t="n">
        <f aca="false">DEGREES( ACOS( COS(P$213)  *  COS($A230)))</f>
        <v>60</v>
      </c>
      <c r="Q230" s="210" t="n">
        <f aca="false">DEGREES( ACOS( COS(Q$213)  *  COS($A230)))</f>
        <v>61.1209059825724</v>
      </c>
      <c r="R230" s="210" t="n">
        <f aca="false">DEGREES( ACOS( COS(R$213)  *  COS($A230)))</f>
        <v>64.3410937267447</v>
      </c>
      <c r="S230" s="210" t="n">
        <f aca="false">DEGREES( ACOS( COS(S$213)  *  COS($A230)))</f>
        <v>69.2951889453646</v>
      </c>
      <c r="T230" s="210" t="n">
        <f aca="false">DEGREES( ACOS( COS(T$213)  *  COS($A230)))</f>
        <v>75.5224878140701</v>
      </c>
      <c r="U230" s="210" t="n">
        <f aca="false">DEGREES( ACOS( COS(U$213)  *  COS($A230)))</f>
        <v>82.5645277738682</v>
      </c>
      <c r="V230" s="214" t="n">
        <f aca="false">DEGREES( ACOS( COS(V$213)  *  COS($A230)))</f>
        <v>90</v>
      </c>
      <c r="W230" s="210" t="n">
        <f aca="false">DEGREES( ACOS( COS(W$213)  *  COS($A230)))</f>
        <v>97.4354722261319</v>
      </c>
      <c r="X230" s="210" t="n">
        <f aca="false">DEGREES( ACOS( COS(X$213)  *  COS($A230)))</f>
        <v>104.47751218593</v>
      </c>
      <c r="Y230" s="210" t="n">
        <f aca="false">DEGREES( ACOS( COS(Y$213)  *  COS($A230)))</f>
        <v>110.704811054635</v>
      </c>
      <c r="Z230" s="210" t="n">
        <f aca="false">DEGREES( ACOS( COS(Z$213)  *  COS($A230)))</f>
        <v>115.658906273255</v>
      </c>
      <c r="AA230" s="210" t="n">
        <f aca="false">DEGREES( ACOS( COS(AA$213)  *  COS($A230)))</f>
        <v>118.879094017428</v>
      </c>
      <c r="AB230" s="214" t="n">
        <f aca="false">DEGREES( ACOS( COS(AB$213)  *  COS($A230)))</f>
        <v>119.999999496167</v>
      </c>
      <c r="AC230" s="195" t="n">
        <f aca="false">DEGREES( ACOS( COS(AC$213)  *  COS($A230)))</f>
        <v>120</v>
      </c>
      <c r="AD230" s="195" t="n">
        <f aca="false">DEGREES( ACOS( COS(AD$213)  *  COS($A230)))</f>
        <v>120</v>
      </c>
      <c r="AE230" s="1"/>
      <c r="AF230" s="1"/>
      <c r="AG230" s="1"/>
      <c r="AH230" s="1"/>
      <c r="AI230" s="1"/>
      <c r="AJ230" s="1"/>
      <c r="AK230" s="1"/>
      <c r="AL230" s="1"/>
    </row>
    <row r="231" customFormat="false" ht="12.75" hidden="false" customHeight="true" outlineLevel="0" collapsed="false">
      <c r="A231" s="193" t="n">
        <f aca="false">RADIANS(MOD(B231-180,-360)+180)</f>
        <v>-1.83259571459405</v>
      </c>
      <c r="B231" s="182" t="n">
        <v>255</v>
      </c>
      <c r="C231" s="1"/>
      <c r="D231" s="214" t="n">
        <f aca="false">DEGREES( ACOS( COS(D$213)  *  COS($A231)))</f>
        <v>104.999999997662</v>
      </c>
      <c r="E231" s="210" t="n">
        <f aca="false">DEGREES( ACOS( COS(E$213)  *  COS($A231)))</f>
        <v>104.47751218593</v>
      </c>
      <c r="F231" s="210" t="n">
        <f aca="false">DEGREES( ACOS( COS(F$213)  *  COS($A231)))</f>
        <v>102.952539642222</v>
      </c>
      <c r="G231" s="210" t="n">
        <f aca="false">DEGREES( ACOS( COS(G$213)  *  COS($A231)))</f>
        <v>100.5452905895</v>
      </c>
      <c r="H231" s="210" t="n">
        <f aca="false">DEGREES( ACOS( COS(H$213)  *  COS($A231)))</f>
        <v>97.4354722261319</v>
      </c>
      <c r="I231" s="210" t="n">
        <f aca="false">DEGREES( ACOS( COS(I$213)  *  COS($A231)))</f>
        <v>93.8409657162582</v>
      </c>
      <c r="J231" s="214" t="n">
        <f aca="false">DEGREES( ACOS( COS(J$213)  *  COS($A231)))</f>
        <v>90</v>
      </c>
      <c r="K231" s="210" t="n">
        <f aca="false">DEGREES( ACOS( COS(K$213)  *  COS($A231)))</f>
        <v>86.1590342837419</v>
      </c>
      <c r="L231" s="210" t="n">
        <f aca="false">DEGREES( ACOS( COS(L$213)  *  COS($A231)))</f>
        <v>82.5645277738682</v>
      </c>
      <c r="M231" s="210" t="n">
        <f aca="false">DEGREES( ACOS( COS(M$213)  *  COS($A231)))</f>
        <v>79.4547094105004</v>
      </c>
      <c r="N231" s="210" t="n">
        <f aca="false">DEGREES( ACOS( COS(N$213)  *  COS($A231)))</f>
        <v>77.0474603577776</v>
      </c>
      <c r="O231" s="210" t="n">
        <f aca="false">DEGREES( ACOS( COS(O$213)  *  COS($A231)))</f>
        <v>75.5224878140701</v>
      </c>
      <c r="P231" s="214" t="n">
        <f aca="false">DEGREES( ACOS( COS(P$213)  *  COS($A231)))</f>
        <v>75</v>
      </c>
      <c r="Q231" s="210" t="n">
        <f aca="false">DEGREES( ACOS( COS(Q$213)  *  COS($A231)))</f>
        <v>75.5224878140701</v>
      </c>
      <c r="R231" s="210" t="n">
        <f aca="false">DEGREES( ACOS( COS(R$213)  *  COS($A231)))</f>
        <v>77.0474603577776</v>
      </c>
      <c r="S231" s="210" t="n">
        <f aca="false">DEGREES( ACOS( COS(S$213)  *  COS($A231)))</f>
        <v>79.4547094105004</v>
      </c>
      <c r="T231" s="210" t="n">
        <f aca="false">DEGREES( ACOS( COS(T$213)  *  COS($A231)))</f>
        <v>82.5645277738682</v>
      </c>
      <c r="U231" s="210" t="n">
        <f aca="false">DEGREES( ACOS( COS(U$213)  *  COS($A231)))</f>
        <v>86.1590342837419</v>
      </c>
      <c r="V231" s="214" t="n">
        <f aca="false">DEGREES( ACOS( COS(V$213)  *  COS($A231)))</f>
        <v>90</v>
      </c>
      <c r="W231" s="210" t="n">
        <f aca="false">DEGREES( ACOS( COS(W$213)  *  COS($A231)))</f>
        <v>93.8409657162582</v>
      </c>
      <c r="X231" s="210" t="n">
        <f aca="false">DEGREES( ACOS( COS(X$213)  *  COS($A231)))</f>
        <v>97.4354722261319</v>
      </c>
      <c r="Y231" s="210" t="n">
        <f aca="false">DEGREES( ACOS( COS(Y$213)  *  COS($A231)))</f>
        <v>100.5452905895</v>
      </c>
      <c r="Z231" s="210" t="n">
        <f aca="false">DEGREES( ACOS( COS(Z$213)  *  COS($A231)))</f>
        <v>102.952539642222</v>
      </c>
      <c r="AA231" s="210" t="n">
        <f aca="false">DEGREES( ACOS( COS(AA$213)  *  COS($A231)))</f>
        <v>104.47751218593</v>
      </c>
      <c r="AB231" s="214" t="n">
        <f aca="false">DEGREES( ACOS( COS(AB$213)  *  COS($A231)))</f>
        <v>104.99999976617</v>
      </c>
      <c r="AC231" s="195" t="n">
        <f aca="false">DEGREES( ACOS( COS(AC$213)  *  COS($A231)))</f>
        <v>105</v>
      </c>
      <c r="AD231" s="195" t="n">
        <f aca="false">DEGREES( ACOS( COS(AD$213)  *  COS($A231)))</f>
        <v>105</v>
      </c>
      <c r="AE231" s="1"/>
      <c r="AF231" s="1"/>
      <c r="AG231" s="1"/>
      <c r="AH231" s="1"/>
      <c r="AI231" s="1"/>
      <c r="AJ231" s="1"/>
      <c r="AK231" s="1"/>
      <c r="AL231" s="1"/>
    </row>
    <row r="232" customFormat="false" ht="12.75" hidden="false" customHeight="true" outlineLevel="0" collapsed="false">
      <c r="A232" s="193" t="n">
        <f aca="false">RADIANS(MOD(B232-180,-360)+180)</f>
        <v>-1.5707963267949</v>
      </c>
      <c r="B232" s="182" t="n">
        <v>270</v>
      </c>
      <c r="C232" s="1"/>
      <c r="D232" s="214" t="n">
        <f aca="false">DEGREES( ACOS( COS(D$213)  *  COS($A232)))</f>
        <v>90</v>
      </c>
      <c r="E232" s="214" t="n">
        <f aca="false">DEGREES( ACOS( COS(E$213)  *  COS($A232)))</f>
        <v>90</v>
      </c>
      <c r="F232" s="214" t="n">
        <f aca="false">DEGREES( ACOS( COS(F$213)  *  COS($A232)))</f>
        <v>90</v>
      </c>
      <c r="G232" s="214" t="n">
        <f aca="false">DEGREES( ACOS( COS(G$213)  *  COS($A232)))</f>
        <v>90</v>
      </c>
      <c r="H232" s="214" t="n">
        <f aca="false">DEGREES( ACOS( COS(H$213)  *  COS($A232)))</f>
        <v>90</v>
      </c>
      <c r="I232" s="214" t="n">
        <f aca="false">DEGREES( ACOS( COS(I$213)  *  COS($A232)))</f>
        <v>90</v>
      </c>
      <c r="J232" s="214" t="n">
        <f aca="false">DEGREES( ACOS( COS(J$213)  *  COS($A232)))</f>
        <v>90</v>
      </c>
      <c r="K232" s="214" t="n">
        <f aca="false">DEGREES( ACOS( COS(K$213)  *  COS($A232)))</f>
        <v>90</v>
      </c>
      <c r="L232" s="214" t="n">
        <f aca="false">DEGREES( ACOS( COS(L$213)  *  COS($A232)))</f>
        <v>90</v>
      </c>
      <c r="M232" s="214" t="n">
        <f aca="false">DEGREES( ACOS( COS(M$213)  *  COS($A232)))</f>
        <v>90</v>
      </c>
      <c r="N232" s="214" t="n">
        <f aca="false">DEGREES( ACOS( COS(N$213)  *  COS($A232)))</f>
        <v>90</v>
      </c>
      <c r="O232" s="214" t="n">
        <f aca="false">DEGREES( ACOS( COS(O$213)  *  COS($A232)))</f>
        <v>90</v>
      </c>
      <c r="P232" s="214" t="n">
        <f aca="false">DEGREES( ACOS( COS(P$213)  *  COS($A232)))</f>
        <v>90</v>
      </c>
      <c r="Q232" s="214" t="n">
        <f aca="false">DEGREES( ACOS( COS(Q$213)  *  COS($A232)))</f>
        <v>90</v>
      </c>
      <c r="R232" s="214" t="n">
        <f aca="false">DEGREES( ACOS( COS(R$213)  *  COS($A232)))</f>
        <v>90</v>
      </c>
      <c r="S232" s="214" t="n">
        <f aca="false">DEGREES( ACOS( COS(S$213)  *  COS($A232)))</f>
        <v>90</v>
      </c>
      <c r="T232" s="214" t="n">
        <f aca="false">DEGREES( ACOS( COS(T$213)  *  COS($A232)))</f>
        <v>90</v>
      </c>
      <c r="U232" s="214" t="n">
        <f aca="false">DEGREES( ACOS( COS(U$213)  *  COS($A232)))</f>
        <v>90</v>
      </c>
      <c r="V232" s="214" t="n">
        <f aca="false">DEGREES( ACOS( COS(V$213)  *  COS($A232)))</f>
        <v>90</v>
      </c>
      <c r="W232" s="214" t="n">
        <f aca="false">DEGREES( ACOS( COS(W$213)  *  COS($A232)))</f>
        <v>90</v>
      </c>
      <c r="X232" s="214" t="n">
        <f aca="false">DEGREES( ACOS( COS(X$213)  *  COS($A232)))</f>
        <v>90</v>
      </c>
      <c r="Y232" s="214" t="n">
        <f aca="false">DEGREES( ACOS( COS(Y$213)  *  COS($A232)))</f>
        <v>90</v>
      </c>
      <c r="Z232" s="214" t="n">
        <f aca="false">DEGREES( ACOS( COS(Z$213)  *  COS($A232)))</f>
        <v>90</v>
      </c>
      <c r="AA232" s="214" t="n">
        <f aca="false">DEGREES( ACOS( COS(AA$213)  *  COS($A232)))</f>
        <v>90</v>
      </c>
      <c r="AB232" s="214" t="n">
        <f aca="false">DEGREES( ACOS( COS(AB$213)  *  COS($A232)))</f>
        <v>90</v>
      </c>
      <c r="AC232" s="195" t="n">
        <f aca="false">DEGREES( ACOS( COS(AC$213)  *  COS($A232)))</f>
        <v>90</v>
      </c>
      <c r="AD232" s="195" t="n">
        <f aca="false">DEGREES( ACOS( COS(AD$213)  *  COS($A232)))</f>
        <v>90</v>
      </c>
      <c r="AE232" s="1"/>
      <c r="AF232" s="1"/>
      <c r="AG232" s="1"/>
      <c r="AH232" s="1"/>
      <c r="AI232" s="1"/>
      <c r="AJ232" s="1"/>
      <c r="AK232" s="1"/>
      <c r="AL232" s="1"/>
    </row>
    <row r="233" customFormat="false" ht="12.75" hidden="false" customHeight="true" outlineLevel="0" collapsed="false">
      <c r="A233" s="193" t="n">
        <f aca="false">RADIANS(MOD(B233-180,-360)+180)</f>
        <v>-1.30899693899575</v>
      </c>
      <c r="B233" s="182" t="n">
        <v>285</v>
      </c>
      <c r="C233" s="1"/>
      <c r="D233" s="214" t="n">
        <f aca="false">DEGREES( ACOS( COS(D$213)  *  COS($A233)))</f>
        <v>75.0000000023383</v>
      </c>
      <c r="E233" s="210" t="n">
        <f aca="false">DEGREES( ACOS( COS(E$213)  *  COS($A233)))</f>
        <v>75.5224878140701</v>
      </c>
      <c r="F233" s="210" t="n">
        <f aca="false">DEGREES( ACOS( COS(F$213)  *  COS($A233)))</f>
        <v>77.0474603577776</v>
      </c>
      <c r="G233" s="210" t="n">
        <f aca="false">DEGREES( ACOS( COS(G$213)  *  COS($A233)))</f>
        <v>79.4547094105004</v>
      </c>
      <c r="H233" s="210" t="n">
        <f aca="false">DEGREES( ACOS( COS(H$213)  *  COS($A233)))</f>
        <v>82.5645277738682</v>
      </c>
      <c r="I233" s="210" t="n">
        <f aca="false">DEGREES( ACOS( COS(I$213)  *  COS($A233)))</f>
        <v>86.1590342837419</v>
      </c>
      <c r="J233" s="214" t="n">
        <f aca="false">DEGREES( ACOS( COS(J$213)  *  COS($A233)))</f>
        <v>90</v>
      </c>
      <c r="K233" s="210" t="n">
        <f aca="false">DEGREES( ACOS( COS(K$213)  *  COS($A233)))</f>
        <v>93.8409657162582</v>
      </c>
      <c r="L233" s="210" t="n">
        <f aca="false">DEGREES( ACOS( COS(L$213)  *  COS($A233)))</f>
        <v>97.4354722261319</v>
      </c>
      <c r="M233" s="210" t="n">
        <f aca="false">DEGREES( ACOS( COS(M$213)  *  COS($A233)))</f>
        <v>100.5452905895</v>
      </c>
      <c r="N233" s="210" t="n">
        <f aca="false">DEGREES( ACOS( COS(N$213)  *  COS($A233)))</f>
        <v>102.952539642222</v>
      </c>
      <c r="O233" s="210" t="n">
        <f aca="false">DEGREES( ACOS( COS(O$213)  *  COS($A233)))</f>
        <v>104.47751218593</v>
      </c>
      <c r="P233" s="214" t="n">
        <f aca="false">DEGREES( ACOS( COS(P$213)  *  COS($A233)))</f>
        <v>105</v>
      </c>
      <c r="Q233" s="210" t="n">
        <f aca="false">DEGREES( ACOS( COS(Q$213)  *  COS($A233)))</f>
        <v>104.47751218593</v>
      </c>
      <c r="R233" s="210" t="n">
        <f aca="false">DEGREES( ACOS( COS(R$213)  *  COS($A233)))</f>
        <v>102.952539642222</v>
      </c>
      <c r="S233" s="210" t="n">
        <f aca="false">DEGREES( ACOS( COS(S$213)  *  COS($A233)))</f>
        <v>100.5452905895</v>
      </c>
      <c r="T233" s="210" t="n">
        <f aca="false">DEGREES( ACOS( COS(T$213)  *  COS($A233)))</f>
        <v>97.4354722261319</v>
      </c>
      <c r="U233" s="210" t="n">
        <f aca="false">DEGREES( ACOS( COS(U$213)  *  COS($A233)))</f>
        <v>93.8409657162582</v>
      </c>
      <c r="V233" s="214" t="n">
        <f aca="false">DEGREES( ACOS( COS(V$213)  *  COS($A233)))</f>
        <v>90</v>
      </c>
      <c r="W233" s="210" t="n">
        <f aca="false">DEGREES( ACOS( COS(W$213)  *  COS($A233)))</f>
        <v>86.1590342837419</v>
      </c>
      <c r="X233" s="210" t="n">
        <f aca="false">DEGREES( ACOS( COS(X$213)  *  COS($A233)))</f>
        <v>82.5645277738682</v>
      </c>
      <c r="Y233" s="210" t="n">
        <f aca="false">DEGREES( ACOS( COS(Y$213)  *  COS($A233)))</f>
        <v>79.4547094105004</v>
      </c>
      <c r="Z233" s="210" t="n">
        <f aca="false">DEGREES( ACOS( COS(Z$213)  *  COS($A233)))</f>
        <v>77.0474603577776</v>
      </c>
      <c r="AA233" s="210" t="n">
        <f aca="false">DEGREES( ACOS( COS(AA$213)  *  COS($A233)))</f>
        <v>75.5224878140701</v>
      </c>
      <c r="AB233" s="214" t="n">
        <f aca="false">DEGREES( ACOS( COS(AB$213)  *  COS($A233)))</f>
        <v>75.0000002338298</v>
      </c>
      <c r="AC233" s="195" t="n">
        <f aca="false">DEGREES( ACOS( COS(AC$213)  *  COS($A233)))</f>
        <v>75</v>
      </c>
      <c r="AD233" s="195" t="n">
        <f aca="false">DEGREES( ACOS( COS(AD$213)  *  COS($A233)))</f>
        <v>75</v>
      </c>
      <c r="AE233" s="1"/>
      <c r="AF233" s="1"/>
      <c r="AG233" s="1"/>
      <c r="AH233" s="1"/>
      <c r="AI233" s="1"/>
      <c r="AJ233" s="1"/>
      <c r="AK233" s="1"/>
      <c r="AL233" s="1"/>
    </row>
    <row r="234" customFormat="false" ht="12.75" hidden="false" customHeight="true" outlineLevel="0" collapsed="false">
      <c r="A234" s="193" t="n">
        <f aca="false">RADIANS(MOD(B234-180,-360)+180)</f>
        <v>-1.0471975511966</v>
      </c>
      <c r="B234" s="182" t="n">
        <v>300</v>
      </c>
      <c r="C234" s="1"/>
      <c r="D234" s="214" t="n">
        <f aca="false">DEGREES( ACOS( COS(D$213)  *  COS($A234)))</f>
        <v>60.0000000050383</v>
      </c>
      <c r="E234" s="210" t="n">
        <f aca="false">DEGREES( ACOS( COS(E$213)  *  COS($A234)))</f>
        <v>61.1209059825724</v>
      </c>
      <c r="F234" s="210" t="n">
        <f aca="false">DEGREES( ACOS( COS(F$213)  *  COS($A234)))</f>
        <v>64.3410937267447</v>
      </c>
      <c r="G234" s="210" t="n">
        <f aca="false">DEGREES( ACOS( COS(G$213)  *  COS($A234)))</f>
        <v>69.2951889453646</v>
      </c>
      <c r="H234" s="210" t="n">
        <f aca="false">DEGREES( ACOS( COS(H$213)  *  COS($A234)))</f>
        <v>75.5224878140701</v>
      </c>
      <c r="I234" s="210" t="n">
        <f aca="false">DEGREES( ACOS( COS(I$213)  *  COS($A234)))</f>
        <v>82.5645277738682</v>
      </c>
      <c r="J234" s="214" t="n">
        <f aca="false">DEGREES( ACOS( COS(J$213)  *  COS($A234)))</f>
        <v>90</v>
      </c>
      <c r="K234" s="210" t="n">
        <f aca="false">DEGREES( ACOS( COS(K$213)  *  COS($A234)))</f>
        <v>97.4354722261319</v>
      </c>
      <c r="L234" s="210" t="n">
        <f aca="false">DEGREES( ACOS( COS(L$213)  *  COS($A234)))</f>
        <v>104.47751218593</v>
      </c>
      <c r="M234" s="210" t="n">
        <f aca="false">DEGREES( ACOS( COS(M$213)  *  COS($A234)))</f>
        <v>110.704811054635</v>
      </c>
      <c r="N234" s="210" t="n">
        <f aca="false">DEGREES( ACOS( COS(N$213)  *  COS($A234)))</f>
        <v>115.658906273255</v>
      </c>
      <c r="O234" s="210" t="n">
        <f aca="false">DEGREES( ACOS( COS(O$213)  *  COS($A234)))</f>
        <v>118.879094017428</v>
      </c>
      <c r="P234" s="214" t="n">
        <f aca="false">DEGREES( ACOS( COS(P$213)  *  COS($A234)))</f>
        <v>120</v>
      </c>
      <c r="Q234" s="210" t="n">
        <f aca="false">DEGREES( ACOS( COS(Q$213)  *  COS($A234)))</f>
        <v>118.879094017428</v>
      </c>
      <c r="R234" s="210" t="n">
        <f aca="false">DEGREES( ACOS( COS(R$213)  *  COS($A234)))</f>
        <v>115.658906273255</v>
      </c>
      <c r="S234" s="210" t="n">
        <f aca="false">DEGREES( ACOS( COS(S$213)  *  COS($A234)))</f>
        <v>110.704811054635</v>
      </c>
      <c r="T234" s="210" t="n">
        <f aca="false">DEGREES( ACOS( COS(T$213)  *  COS($A234)))</f>
        <v>104.47751218593</v>
      </c>
      <c r="U234" s="210" t="n">
        <f aca="false">DEGREES( ACOS( COS(U$213)  *  COS($A234)))</f>
        <v>97.4354722261319</v>
      </c>
      <c r="V234" s="214" t="n">
        <f aca="false">DEGREES( ACOS( COS(V$213)  *  COS($A234)))</f>
        <v>90</v>
      </c>
      <c r="W234" s="210" t="n">
        <f aca="false">DEGREES( ACOS( COS(W$213)  *  COS($A234)))</f>
        <v>82.5645277738682</v>
      </c>
      <c r="X234" s="210" t="n">
        <f aca="false">DEGREES( ACOS( COS(X$213)  *  COS($A234)))</f>
        <v>75.5224878140701</v>
      </c>
      <c r="Y234" s="210" t="n">
        <f aca="false">DEGREES( ACOS( COS(Y$213)  *  COS($A234)))</f>
        <v>69.2951889453646</v>
      </c>
      <c r="Z234" s="210" t="n">
        <f aca="false">DEGREES( ACOS( COS(Z$213)  *  COS($A234)))</f>
        <v>64.3410937267447</v>
      </c>
      <c r="AA234" s="210" t="n">
        <f aca="false">DEGREES( ACOS( COS(AA$213)  *  COS($A234)))</f>
        <v>61.1209059825724</v>
      </c>
      <c r="AB234" s="214" t="n">
        <f aca="false">DEGREES( ACOS( COS(AB$213)  *  COS($A234)))</f>
        <v>60.0000005038332</v>
      </c>
      <c r="AC234" s="195" t="n">
        <f aca="false">DEGREES( ACOS( COS(AC$213)  *  COS($A234)))</f>
        <v>60</v>
      </c>
      <c r="AD234" s="195" t="n">
        <f aca="false">DEGREES( ACOS( COS(AD$213)  *  COS($A234)))</f>
        <v>60</v>
      </c>
      <c r="AE234" s="1"/>
      <c r="AF234" s="1"/>
      <c r="AG234" s="1"/>
      <c r="AH234" s="1"/>
      <c r="AI234" s="1"/>
      <c r="AJ234" s="1"/>
      <c r="AK234" s="1"/>
      <c r="AL234" s="1"/>
    </row>
    <row r="235" customFormat="false" ht="12.75" hidden="false" customHeight="true" outlineLevel="0" collapsed="false">
      <c r="A235" s="193" t="n">
        <f aca="false">RADIANS(MOD(B235-180,-360)+180)</f>
        <v>-0.785398163397448</v>
      </c>
      <c r="B235" s="182" t="n">
        <v>315</v>
      </c>
      <c r="C235" s="1"/>
      <c r="D235" s="214" t="n">
        <f aca="false">DEGREES( ACOS( COS(D$213)  *  COS($A235)))</f>
        <v>45.0000000087267</v>
      </c>
      <c r="E235" s="210" t="n">
        <f aca="false">DEGREES( ACOS( COS(E$213)  *  COS($A235)))</f>
        <v>46.9204828581291</v>
      </c>
      <c r="F235" s="210" t="n">
        <f aca="false">DEGREES( ACOS( COS(F$213)  *  COS($A235)))</f>
        <v>52.238756092965</v>
      </c>
      <c r="G235" s="210" t="n">
        <f aca="false">DEGREES( ACOS( COS(G$213)  *  COS($A235)))</f>
        <v>60</v>
      </c>
      <c r="H235" s="210" t="n">
        <f aca="false">DEGREES( ACOS( COS(H$213)  *  COS($A235)))</f>
        <v>69.2951889453646</v>
      </c>
      <c r="I235" s="210" t="n">
        <f aca="false">DEGREES( ACOS( COS(I$213)  *  COS($A235)))</f>
        <v>79.4547094105004</v>
      </c>
      <c r="J235" s="214" t="n">
        <f aca="false">DEGREES( ACOS( COS(J$213)  *  COS($A235)))</f>
        <v>90</v>
      </c>
      <c r="K235" s="210" t="n">
        <f aca="false">DEGREES( ACOS( COS(K$213)  *  COS($A235)))</f>
        <v>100.5452905895</v>
      </c>
      <c r="L235" s="210" t="n">
        <f aca="false">DEGREES( ACOS( COS(L$213)  *  COS($A235)))</f>
        <v>110.704811054635</v>
      </c>
      <c r="M235" s="210" t="n">
        <f aca="false">DEGREES( ACOS( COS(M$213)  *  COS($A235)))</f>
        <v>120</v>
      </c>
      <c r="N235" s="210" t="n">
        <f aca="false">DEGREES( ACOS( COS(N$213)  *  COS($A235)))</f>
        <v>127.761243907035</v>
      </c>
      <c r="O235" s="210" t="n">
        <f aca="false">DEGREES( ACOS( COS(O$213)  *  COS($A235)))</f>
        <v>133.079517141871</v>
      </c>
      <c r="P235" s="214" t="n">
        <f aca="false">DEGREES( ACOS( COS(P$213)  *  COS($A235)))</f>
        <v>135</v>
      </c>
      <c r="Q235" s="210" t="n">
        <f aca="false">DEGREES( ACOS( COS(Q$213)  *  COS($A235)))</f>
        <v>133.079517141871</v>
      </c>
      <c r="R235" s="210" t="n">
        <f aca="false">DEGREES( ACOS( COS(R$213)  *  COS($A235)))</f>
        <v>127.761243907035</v>
      </c>
      <c r="S235" s="210" t="n">
        <f aca="false">DEGREES( ACOS( COS(S$213)  *  COS($A235)))</f>
        <v>120</v>
      </c>
      <c r="T235" s="210" t="n">
        <f aca="false">DEGREES( ACOS( COS(T$213)  *  COS($A235)))</f>
        <v>110.704811054635</v>
      </c>
      <c r="U235" s="210" t="n">
        <f aca="false">DEGREES( ACOS( COS(U$213)  *  COS($A235)))</f>
        <v>100.5452905895</v>
      </c>
      <c r="V235" s="214" t="n">
        <f aca="false">DEGREES( ACOS( COS(V$213)  *  COS($A235)))</f>
        <v>90</v>
      </c>
      <c r="W235" s="210" t="n">
        <f aca="false">DEGREES( ACOS( COS(W$213)  *  COS($A235)))</f>
        <v>79.4547094105004</v>
      </c>
      <c r="X235" s="210" t="n">
        <f aca="false">DEGREES( ACOS( COS(X$213)  *  COS($A235)))</f>
        <v>69.2951889453646</v>
      </c>
      <c r="Y235" s="210" t="n">
        <f aca="false">DEGREES( ACOS( COS(Y$213)  *  COS($A235)))</f>
        <v>60</v>
      </c>
      <c r="Z235" s="210" t="n">
        <f aca="false">DEGREES( ACOS( COS(Z$213)  *  COS($A235)))</f>
        <v>52.238756092965</v>
      </c>
      <c r="AA235" s="210" t="n">
        <f aca="false">DEGREES( ACOS( COS(AA$213)  *  COS($A235)))</f>
        <v>46.9204828581291</v>
      </c>
      <c r="AB235" s="214" t="n">
        <f aca="false">DEGREES( ACOS( COS(AB$213)  *  COS($A235)))</f>
        <v>45.0000008726646</v>
      </c>
      <c r="AC235" s="195" t="n">
        <f aca="false">DEGREES( ACOS( COS(AC$213)  *  COS($A235)))</f>
        <v>45</v>
      </c>
      <c r="AD235" s="195" t="n">
        <f aca="false">DEGREES( ACOS( COS(AD$213)  *  COS($A235)))</f>
        <v>45</v>
      </c>
      <c r="AE235" s="1"/>
      <c r="AF235" s="1"/>
      <c r="AG235" s="1"/>
      <c r="AH235" s="1"/>
      <c r="AI235" s="1"/>
      <c r="AJ235" s="1"/>
      <c r="AK235" s="1"/>
      <c r="AL235" s="1"/>
    </row>
    <row r="236" customFormat="false" ht="12.75" hidden="false" customHeight="true" outlineLevel="0" collapsed="false">
      <c r="A236" s="193" t="n">
        <f aca="false">RADIANS(MOD(B236-180,-360)+180)</f>
        <v>-0.523598775598299</v>
      </c>
      <c r="B236" s="182" t="n">
        <v>330</v>
      </c>
      <c r="C236" s="1"/>
      <c r="D236" s="214" t="n">
        <f aca="false">DEGREES( ACOS( COS(D$213)  *  COS($A236)))</f>
        <v>30.000000015115</v>
      </c>
      <c r="E236" s="210" t="n">
        <f aca="false">DEGREES( ACOS( COS(E$213)  *  COS($A236)))</f>
        <v>33.2259422032876</v>
      </c>
      <c r="F236" s="210" t="n">
        <f aca="false">DEGREES( ACOS( COS(F$213)  *  COS($A236)))</f>
        <v>41.4096221092709</v>
      </c>
      <c r="G236" s="210" t="n">
        <f aca="false">DEGREES( ACOS( COS(G$213)  *  COS($A236)))</f>
        <v>52.238756092965</v>
      </c>
      <c r="H236" s="210" t="n">
        <f aca="false">DEGREES( ACOS( COS(H$213)  *  COS($A236)))</f>
        <v>64.3410937267447</v>
      </c>
      <c r="I236" s="210" t="n">
        <f aca="false">DEGREES( ACOS( COS(I$213)  *  COS($A236)))</f>
        <v>77.0474603577776</v>
      </c>
      <c r="J236" s="214" t="n">
        <f aca="false">DEGREES( ACOS( COS(J$213)  *  COS($A236)))</f>
        <v>90</v>
      </c>
      <c r="K236" s="210" t="n">
        <f aca="false">DEGREES( ACOS( COS(K$213)  *  COS($A236)))</f>
        <v>102.952539642222</v>
      </c>
      <c r="L236" s="210" t="n">
        <f aca="false">DEGREES( ACOS( COS(L$213)  *  COS($A236)))</f>
        <v>115.658906273255</v>
      </c>
      <c r="M236" s="210" t="n">
        <f aca="false">DEGREES( ACOS( COS(M$213)  *  COS($A236)))</f>
        <v>127.761243907035</v>
      </c>
      <c r="N236" s="210" t="n">
        <f aca="false">DEGREES( ACOS( COS(N$213)  *  COS($A236)))</f>
        <v>138.590377890729</v>
      </c>
      <c r="O236" s="210" t="n">
        <f aca="false">DEGREES( ACOS( COS(O$213)  *  COS($A236)))</f>
        <v>146.774057796712</v>
      </c>
      <c r="P236" s="214" t="n">
        <f aca="false">DEGREES( ACOS( COS(P$213)  *  COS($A236)))</f>
        <v>150</v>
      </c>
      <c r="Q236" s="210" t="n">
        <f aca="false">DEGREES( ACOS( COS(Q$213)  *  COS($A236)))</f>
        <v>146.774057796712</v>
      </c>
      <c r="R236" s="210" t="n">
        <f aca="false">DEGREES( ACOS( COS(R$213)  *  COS($A236)))</f>
        <v>138.590377890729</v>
      </c>
      <c r="S236" s="210" t="n">
        <f aca="false">DEGREES( ACOS( COS(S$213)  *  COS($A236)))</f>
        <v>127.761243907035</v>
      </c>
      <c r="T236" s="210" t="n">
        <f aca="false">DEGREES( ACOS( COS(T$213)  *  COS($A236)))</f>
        <v>115.658906273255</v>
      </c>
      <c r="U236" s="210" t="n">
        <f aca="false">DEGREES( ACOS( COS(U$213)  *  COS($A236)))</f>
        <v>102.952539642222</v>
      </c>
      <c r="V236" s="214" t="n">
        <f aca="false">DEGREES( ACOS( COS(V$213)  *  COS($A236)))</f>
        <v>90</v>
      </c>
      <c r="W236" s="210" t="n">
        <f aca="false">DEGREES( ACOS( COS(W$213)  *  COS($A236)))</f>
        <v>77.0474603577776</v>
      </c>
      <c r="X236" s="210" t="n">
        <f aca="false">DEGREES( ACOS( COS(X$213)  *  COS($A236)))</f>
        <v>64.3410937267447</v>
      </c>
      <c r="Y236" s="210" t="n">
        <f aca="false">DEGREES( ACOS( COS(Y$213)  *  COS($A236)))</f>
        <v>52.238756092965</v>
      </c>
      <c r="Z236" s="210" t="n">
        <f aca="false">DEGREES( ACOS( COS(Z$213)  *  COS($A236)))</f>
        <v>41.4096221092709</v>
      </c>
      <c r="AA236" s="210" t="n">
        <f aca="false">DEGREES( ACOS( COS(AA$213)  *  COS($A236)))</f>
        <v>33.2259422032876</v>
      </c>
      <c r="AB236" s="214" t="n">
        <f aca="false">DEGREES( ACOS( COS(AB$213)  *  COS($A236)))</f>
        <v>30.0000015114994</v>
      </c>
      <c r="AC236" s="195" t="n">
        <f aca="false">DEGREES( ACOS( COS(AC$213)  *  COS($A236)))</f>
        <v>30</v>
      </c>
      <c r="AD236" s="195" t="n">
        <f aca="false">DEGREES( ACOS( COS(AD$213)  *  COS($A236)))</f>
        <v>30</v>
      </c>
      <c r="AE236" s="1"/>
      <c r="AF236" s="1"/>
      <c r="AG236" s="1"/>
      <c r="AH236" s="1"/>
      <c r="AI236" s="1"/>
      <c r="AJ236" s="1"/>
      <c r="AK236" s="1"/>
      <c r="AL236" s="1"/>
    </row>
    <row r="237" customFormat="false" ht="12.75" hidden="false" customHeight="true" outlineLevel="0" collapsed="false">
      <c r="A237" s="193" t="n">
        <f aca="false">RADIANS(MOD(B237-180,-360)+180)</f>
        <v>-0.261799387799149</v>
      </c>
      <c r="B237" s="182" t="n">
        <v>345</v>
      </c>
      <c r="C237" s="1"/>
      <c r="D237" s="214" t="n">
        <f aca="false">DEGREES( ACOS( COS(D$213)  *  COS($A237)))</f>
        <v>15.0000000325683</v>
      </c>
      <c r="E237" s="210" t="n">
        <f aca="false">DEGREES( ACOS( COS(E$213)  *  COS($A237)))</f>
        <v>21.0905811789991</v>
      </c>
      <c r="F237" s="210" t="n">
        <f aca="false">DEGREES( ACOS( COS(F$213)  *  COS($A237)))</f>
        <v>33.2259422032876</v>
      </c>
      <c r="G237" s="210" t="n">
        <f aca="false">DEGREES( ACOS( COS(G$213)  *  COS($A237)))</f>
        <v>46.9204828581291</v>
      </c>
      <c r="H237" s="210" t="n">
        <f aca="false">DEGREES( ACOS( COS(H$213)  *  COS($A237)))</f>
        <v>61.1209059825724</v>
      </c>
      <c r="I237" s="210" t="n">
        <f aca="false">DEGREES( ACOS( COS(I$213)  *  COS($A237)))</f>
        <v>75.5224878140701</v>
      </c>
      <c r="J237" s="214" t="n">
        <f aca="false">DEGREES( ACOS( COS(J$213)  *  COS($A237)))</f>
        <v>90</v>
      </c>
      <c r="K237" s="210" t="n">
        <f aca="false">DEGREES( ACOS( COS(K$213)  *  COS($A237)))</f>
        <v>104.47751218593</v>
      </c>
      <c r="L237" s="210" t="n">
        <f aca="false">DEGREES( ACOS( COS(L$213)  *  COS($A237)))</f>
        <v>118.879094017428</v>
      </c>
      <c r="M237" s="210" t="n">
        <f aca="false">DEGREES( ACOS( COS(M$213)  *  COS($A237)))</f>
        <v>133.079517141871</v>
      </c>
      <c r="N237" s="210" t="n">
        <f aca="false">DEGREES( ACOS( COS(N$213)  *  COS($A237)))</f>
        <v>146.774057796712</v>
      </c>
      <c r="O237" s="210" t="n">
        <f aca="false">DEGREES( ACOS( COS(O$213)  *  COS($A237)))</f>
        <v>158.909418821001</v>
      </c>
      <c r="P237" s="214" t="n">
        <f aca="false">DEGREES( ACOS( COS(P$213)  *  COS($A237)))</f>
        <v>165</v>
      </c>
      <c r="Q237" s="210" t="n">
        <f aca="false">DEGREES( ACOS( COS(Q$213)  *  COS($A237)))</f>
        <v>158.909418821001</v>
      </c>
      <c r="R237" s="210" t="n">
        <f aca="false">DEGREES( ACOS( COS(R$213)  *  COS($A237)))</f>
        <v>146.774057796712</v>
      </c>
      <c r="S237" s="210" t="n">
        <f aca="false">DEGREES( ACOS( COS(S$213)  *  COS($A237)))</f>
        <v>133.079517141871</v>
      </c>
      <c r="T237" s="210" t="n">
        <f aca="false">DEGREES( ACOS( COS(T$213)  *  COS($A237)))</f>
        <v>118.879094017428</v>
      </c>
      <c r="U237" s="210" t="n">
        <f aca="false">DEGREES( ACOS( COS(U$213)  *  COS($A237)))</f>
        <v>104.47751218593</v>
      </c>
      <c r="V237" s="214" t="n">
        <f aca="false">DEGREES( ACOS( COS(V$213)  *  COS($A237)))</f>
        <v>90</v>
      </c>
      <c r="W237" s="210" t="n">
        <f aca="false">DEGREES( ACOS( COS(W$213)  *  COS($A237)))</f>
        <v>75.5224878140701</v>
      </c>
      <c r="X237" s="210" t="n">
        <f aca="false">DEGREES( ACOS( COS(X$213)  *  COS($A237)))</f>
        <v>61.1209059825724</v>
      </c>
      <c r="Y237" s="210" t="n">
        <f aca="false">DEGREES( ACOS( COS(Y$213)  *  COS($A237)))</f>
        <v>46.9204828581291</v>
      </c>
      <c r="Z237" s="210" t="n">
        <f aca="false">DEGREES( ACOS( COS(Z$213)  *  COS($A237)))</f>
        <v>33.2259422032876</v>
      </c>
      <c r="AA237" s="210" t="n">
        <f aca="false">DEGREES( ACOS( COS(AA$213)  *  COS($A237)))</f>
        <v>21.0905811789991</v>
      </c>
      <c r="AB237" s="214" t="n">
        <f aca="false">DEGREES( ACOS( COS(AB$213)  *  COS($A237)))</f>
        <v>15.0000032568284</v>
      </c>
      <c r="AC237" s="195" t="n">
        <f aca="false">DEGREES( ACOS( COS(AC$213)  *  COS($A237)))</f>
        <v>15</v>
      </c>
      <c r="AD237" s="195" t="n">
        <f aca="false">DEGREES( ACOS( COS(AD$213)  *  COS($A237)))</f>
        <v>15</v>
      </c>
      <c r="AE237" s="1"/>
      <c r="AF237" s="1"/>
      <c r="AG237" s="1"/>
      <c r="AH237" s="1"/>
      <c r="AI237" s="1"/>
      <c r="AJ237" s="1"/>
      <c r="AK237" s="1"/>
      <c r="AL237" s="1"/>
    </row>
    <row r="238" customFormat="false" ht="12.75" hidden="false" customHeight="true" outlineLevel="0" collapsed="false">
      <c r="A238" s="193" t="n">
        <f aca="false">RADIANS(MOD(B238-180,-360)+180)</f>
        <v>-0.000174532925199274</v>
      </c>
      <c r="B238" s="198" t="n">
        <v>359.99</v>
      </c>
      <c r="C238" s="1"/>
      <c r="D238" s="214" t="n">
        <f aca="false">DEGREES( ACOS( COS(D$213)  *  COS($A238)))</f>
        <v>0.0100498756078044</v>
      </c>
      <c r="E238" s="214" t="n">
        <f aca="false">DEGREES( ACOS( COS(E$213)  *  COS($A238)))</f>
        <v>15.0000032568284</v>
      </c>
      <c r="F238" s="214" t="n">
        <f aca="false">DEGREES( ACOS( COS(F$213)  *  COS($A238)))</f>
        <v>30.0000015114994</v>
      </c>
      <c r="G238" s="214" t="n">
        <f aca="false">DEGREES( ACOS( COS(G$213)  *  COS($A238)))</f>
        <v>45.0000008726646</v>
      </c>
      <c r="H238" s="214" t="n">
        <f aca="false">DEGREES( ACOS( COS(H$213)  *  COS($A238)))</f>
        <v>60.0000005038332</v>
      </c>
      <c r="I238" s="214" t="n">
        <f aca="false">DEGREES( ACOS( COS(I$213)  *  COS($A238)))</f>
        <v>75.0000002338298</v>
      </c>
      <c r="J238" s="214" t="n">
        <f aca="false">DEGREES( ACOS( COS(J$213)  *  COS($A238)))</f>
        <v>90</v>
      </c>
      <c r="K238" s="214" t="n">
        <f aca="false">DEGREES( ACOS( COS(K$213)  *  COS($A238)))</f>
        <v>104.99999976617</v>
      </c>
      <c r="L238" s="214" t="n">
        <f aca="false">DEGREES( ACOS( COS(L$213)  *  COS($A238)))</f>
        <v>119.999999496167</v>
      </c>
      <c r="M238" s="214" t="n">
        <f aca="false">DEGREES( ACOS( COS(M$213)  *  COS($A238)))</f>
        <v>134.999999127335</v>
      </c>
      <c r="N238" s="214" t="n">
        <f aca="false">DEGREES( ACOS( COS(N$213)  *  COS($A238)))</f>
        <v>149.999998488501</v>
      </c>
      <c r="O238" s="214" t="n">
        <f aca="false">DEGREES( ACOS( COS(O$213)  *  COS($A238)))</f>
        <v>164.999996743172</v>
      </c>
      <c r="P238" s="214" t="n">
        <f aca="false">DEGREES( ACOS( COS(P$213)  *  COS($A238)))</f>
        <v>179.990000000017</v>
      </c>
      <c r="Q238" s="214" t="n">
        <f aca="false">DEGREES( ACOS( COS(Q$213)  *  COS($A238)))</f>
        <v>164.999996743172</v>
      </c>
      <c r="R238" s="214" t="n">
        <f aca="false">DEGREES( ACOS( COS(R$213)  *  COS($A238)))</f>
        <v>149.999998488501</v>
      </c>
      <c r="S238" s="214" t="n">
        <f aca="false">DEGREES( ACOS( COS(S$213)  *  COS($A238)))</f>
        <v>134.999999127335</v>
      </c>
      <c r="T238" s="214" t="n">
        <f aca="false">DEGREES( ACOS( COS(T$213)  *  COS($A238)))</f>
        <v>119.999999496167</v>
      </c>
      <c r="U238" s="214" t="n">
        <f aca="false">DEGREES( ACOS( COS(U$213)  *  COS($A238)))</f>
        <v>104.99999976617</v>
      </c>
      <c r="V238" s="214" t="n">
        <f aca="false">DEGREES( ACOS( COS(V$213)  *  COS($A238)))</f>
        <v>90</v>
      </c>
      <c r="W238" s="214" t="n">
        <f aca="false">DEGREES( ACOS( COS(W$213)  *  COS($A238)))</f>
        <v>75.0000002338298</v>
      </c>
      <c r="X238" s="214" t="n">
        <f aca="false">DEGREES( ACOS( COS(X$213)  *  COS($A238)))</f>
        <v>60.0000005038332</v>
      </c>
      <c r="Y238" s="214" t="n">
        <f aca="false">DEGREES( ACOS( COS(Y$213)  *  COS($A238)))</f>
        <v>45.0000008726646</v>
      </c>
      <c r="Z238" s="214" t="n">
        <f aca="false">DEGREES( ACOS( COS(Z$213)  *  COS($A238)))</f>
        <v>30.0000015114994</v>
      </c>
      <c r="AA238" s="214" t="n">
        <f aca="false">DEGREES( ACOS( COS(AA$213)  *  COS($A238)))</f>
        <v>15.0000032568284</v>
      </c>
      <c r="AB238" s="214" t="n">
        <f aca="false">DEGREES( ACOS( COS(AB$213)  *  COS($A238)))</f>
        <v>0.0141421355656056</v>
      </c>
      <c r="AC238" s="195" t="n">
        <f aca="false">DEGREES( ACOS( COS(AC$213)  *  COS($A238)))</f>
        <v>0.00999999998265327</v>
      </c>
      <c r="AD238" s="195" t="n">
        <f aca="false">DEGREES( ACOS( COS(AD$213)  *  COS($A238)))</f>
        <v>0.00999999998265327</v>
      </c>
      <c r="AE238" s="1"/>
      <c r="AF238" s="1"/>
      <c r="AG238" s="1"/>
      <c r="AH238" s="1"/>
      <c r="AI238" s="1"/>
      <c r="AJ238" s="1"/>
      <c r="AK238" s="1"/>
      <c r="AL238" s="1"/>
    </row>
    <row r="239" customFormat="false" ht="12.75" hidden="false" customHeight="true" outlineLevel="0" collapsed="false">
      <c r="A239" s="192" t="n">
        <f aca="false">RADIANS(MOD(B239-180,-360)+180)</f>
        <v>0</v>
      </c>
      <c r="B239" s="184" t="n">
        <v>360</v>
      </c>
      <c r="C239" s="1"/>
      <c r="D239" s="195" t="n">
        <f aca="false">DEGREES( ACOS( COS(D$213)  *  COS($A239)))</f>
        <v>0.0010000000370999</v>
      </c>
      <c r="E239" s="195" t="n">
        <f aca="false">DEGREES( ACOS( COS(E$213)  *  COS($A239)))</f>
        <v>15</v>
      </c>
      <c r="F239" s="195" t="n">
        <f aca="false">DEGREES( ACOS( COS(F$213)  *  COS($A239)))</f>
        <v>30</v>
      </c>
      <c r="G239" s="195" t="n">
        <f aca="false">DEGREES( ACOS( COS(G$213)  *  COS($A239)))</f>
        <v>45</v>
      </c>
      <c r="H239" s="195" t="n">
        <f aca="false">DEGREES( ACOS( COS(H$213)  *  COS($A239)))</f>
        <v>60</v>
      </c>
      <c r="I239" s="195" t="n">
        <f aca="false">DEGREES( ACOS( COS(I$213)  *  COS($A239)))</f>
        <v>75</v>
      </c>
      <c r="J239" s="195" t="n">
        <f aca="false">DEGREES( ACOS( COS(J$213)  *  COS($A239)))</f>
        <v>90</v>
      </c>
      <c r="K239" s="195" t="n">
        <f aca="false">DEGREES( ACOS( COS(K$213)  *  COS($A239)))</f>
        <v>105</v>
      </c>
      <c r="L239" s="195" t="n">
        <f aca="false">DEGREES( ACOS( COS(L$213)  *  COS($A239)))</f>
        <v>120</v>
      </c>
      <c r="M239" s="195" t="n">
        <f aca="false">DEGREES( ACOS( COS(M$213)  *  COS($A239)))</f>
        <v>135</v>
      </c>
      <c r="N239" s="195" t="n">
        <f aca="false">DEGREES( ACOS( COS(N$213)  *  COS($A239)))</f>
        <v>150</v>
      </c>
      <c r="O239" s="195" t="n">
        <f aca="false">DEGREES( ACOS( COS(O$213)  *  COS($A239)))</f>
        <v>165</v>
      </c>
      <c r="P239" s="195" t="n">
        <f aca="false">DEGREES( ACOS( COS(P$213)  *  COS($A239)))</f>
        <v>180</v>
      </c>
      <c r="Q239" s="195" t="n">
        <f aca="false">DEGREES( ACOS( COS(Q$213)  *  COS($A239)))</f>
        <v>165</v>
      </c>
      <c r="R239" s="195" t="n">
        <f aca="false">DEGREES( ACOS( COS(R$213)  *  COS($A239)))</f>
        <v>150</v>
      </c>
      <c r="S239" s="195" t="n">
        <f aca="false">DEGREES( ACOS( COS(S$213)  *  COS($A239)))</f>
        <v>135</v>
      </c>
      <c r="T239" s="195" t="n">
        <f aca="false">DEGREES( ACOS( COS(T$213)  *  COS($A239)))</f>
        <v>120</v>
      </c>
      <c r="U239" s="195" t="n">
        <f aca="false">DEGREES( ACOS( COS(U$213)  *  COS($A239)))</f>
        <v>105</v>
      </c>
      <c r="V239" s="195" t="n">
        <f aca="false">DEGREES( ACOS( COS(V$213)  *  COS($A239)))</f>
        <v>90</v>
      </c>
      <c r="W239" s="195" t="n">
        <f aca="false">DEGREES( ACOS( COS(W$213)  *  COS($A239)))</f>
        <v>75</v>
      </c>
      <c r="X239" s="195" t="n">
        <f aca="false">DEGREES( ACOS( COS(X$213)  *  COS($A239)))</f>
        <v>60</v>
      </c>
      <c r="Y239" s="195" t="n">
        <f aca="false">DEGREES( ACOS( COS(Y$213)  *  COS($A239)))</f>
        <v>45</v>
      </c>
      <c r="Z239" s="195" t="n">
        <f aca="false">DEGREES( ACOS( COS(Z$213)  *  COS($A239)))</f>
        <v>30</v>
      </c>
      <c r="AA239" s="195" t="n">
        <f aca="false">DEGREES( ACOS( COS(AA$213)  *  COS($A239)))</f>
        <v>15</v>
      </c>
      <c r="AB239" s="195" t="n">
        <f aca="false">DEGREES( ACOS( COS(AB$213)  *  COS($A239)))</f>
        <v>0.00999999998265327</v>
      </c>
      <c r="AC239" s="195" t="n">
        <f aca="false">DEGREES( ACOS( COS(AC$213)  *  COS($A239)))</f>
        <v>0</v>
      </c>
      <c r="AD239" s="195" t="n">
        <f aca="false">DEGREES( ACOS( COS(AD$213)  *  COS($A239)))</f>
        <v>0</v>
      </c>
      <c r="AE239" s="1"/>
      <c r="AF239" s="1"/>
      <c r="AG239" s="1"/>
      <c r="AH239" s="1"/>
      <c r="AI239" s="1"/>
      <c r="AJ239" s="1"/>
      <c r="AK239" s="1"/>
      <c r="AL239" s="1"/>
    </row>
    <row r="240" customFormat="false" ht="12.75" hidden="false" customHeight="true" outlineLevel="0" collapsed="false">
      <c r="A240" s="192" t="n">
        <f aca="false">RADIANS(MOD(B240-180,-360)+180)</f>
        <v>0</v>
      </c>
      <c r="B240" s="184" t="n">
        <v>0</v>
      </c>
      <c r="C240" s="1"/>
      <c r="D240" s="195" t="n">
        <f aca="false">DEGREES( ACOS( COS(D$213)  *  COS($A240)))</f>
        <v>0.0010000000370999</v>
      </c>
      <c r="E240" s="195" t="n">
        <f aca="false">DEGREES( ACOS( COS(E$213)  *  COS($A240)))</f>
        <v>15</v>
      </c>
      <c r="F240" s="195" t="n">
        <f aca="false">DEGREES( ACOS( COS(F$213)  *  COS($A240)))</f>
        <v>30</v>
      </c>
      <c r="G240" s="195" t="n">
        <f aca="false">DEGREES( ACOS( COS(G$213)  *  COS($A240)))</f>
        <v>45</v>
      </c>
      <c r="H240" s="195" t="n">
        <f aca="false">DEGREES( ACOS( COS(H$213)  *  COS($A240)))</f>
        <v>60</v>
      </c>
      <c r="I240" s="195" t="n">
        <f aca="false">DEGREES( ACOS( COS(I$213)  *  COS($A240)))</f>
        <v>75</v>
      </c>
      <c r="J240" s="195" t="n">
        <f aca="false">DEGREES( ACOS( COS(J$213)  *  COS($A240)))</f>
        <v>90</v>
      </c>
      <c r="K240" s="195" t="n">
        <f aca="false">DEGREES( ACOS( COS(K$213)  *  COS($A240)))</f>
        <v>105</v>
      </c>
      <c r="L240" s="195" t="n">
        <f aca="false">DEGREES( ACOS( COS(L$213)  *  COS($A240)))</f>
        <v>120</v>
      </c>
      <c r="M240" s="195" t="n">
        <f aca="false">DEGREES( ACOS( COS(M$213)  *  COS($A240)))</f>
        <v>135</v>
      </c>
      <c r="N240" s="195" t="n">
        <f aca="false">DEGREES( ACOS( COS(N$213)  *  COS($A240)))</f>
        <v>150</v>
      </c>
      <c r="O240" s="195" t="n">
        <f aca="false">DEGREES( ACOS( COS(O$213)  *  COS($A240)))</f>
        <v>165</v>
      </c>
      <c r="P240" s="195" t="n">
        <f aca="false">DEGREES( ACOS( COS(P$213)  *  COS($A240)))</f>
        <v>180</v>
      </c>
      <c r="Q240" s="195" t="n">
        <f aca="false">DEGREES( ACOS( COS(Q$213)  *  COS($A240)))</f>
        <v>165</v>
      </c>
      <c r="R240" s="195" t="n">
        <f aca="false">DEGREES( ACOS( COS(R$213)  *  COS($A240)))</f>
        <v>150</v>
      </c>
      <c r="S240" s="195" t="n">
        <f aca="false">DEGREES( ACOS( COS(S$213)  *  COS($A240)))</f>
        <v>135</v>
      </c>
      <c r="T240" s="195" t="n">
        <f aca="false">DEGREES( ACOS( COS(T$213)  *  COS($A240)))</f>
        <v>120</v>
      </c>
      <c r="U240" s="195" t="n">
        <f aca="false">DEGREES( ACOS( COS(U$213)  *  COS($A240)))</f>
        <v>105</v>
      </c>
      <c r="V240" s="195" t="n">
        <f aca="false">DEGREES( ACOS( COS(V$213)  *  COS($A240)))</f>
        <v>90</v>
      </c>
      <c r="W240" s="195" t="n">
        <f aca="false">DEGREES( ACOS( COS(W$213)  *  COS($A240)))</f>
        <v>75</v>
      </c>
      <c r="X240" s="195" t="n">
        <f aca="false">DEGREES( ACOS( COS(X$213)  *  COS($A240)))</f>
        <v>60</v>
      </c>
      <c r="Y240" s="195" t="n">
        <f aca="false">DEGREES( ACOS( COS(Y$213)  *  COS($A240)))</f>
        <v>45</v>
      </c>
      <c r="Z240" s="195" t="n">
        <f aca="false">DEGREES( ACOS( COS(Z$213)  *  COS($A240)))</f>
        <v>30</v>
      </c>
      <c r="AA240" s="195" t="n">
        <f aca="false">DEGREES( ACOS( COS(AA$213)  *  COS($A240)))</f>
        <v>15</v>
      </c>
      <c r="AB240" s="195" t="n">
        <f aca="false">DEGREES( ACOS( COS(AB$213)  *  COS($A240)))</f>
        <v>0.00999999998265327</v>
      </c>
      <c r="AC240" s="195" t="n">
        <f aca="false">DEGREES( ACOS( COS(AC$213)  *  COS($A240)))</f>
        <v>0</v>
      </c>
      <c r="AD240" s="195" t="n">
        <f aca="false">DEGREES( ACOS( COS(AD$213)  *  COS($A240)))</f>
        <v>0</v>
      </c>
      <c r="AE240" s="1"/>
      <c r="AF240" s="1"/>
      <c r="AG240" s="1"/>
      <c r="AH240" s="1"/>
      <c r="AI240" s="1"/>
      <c r="AJ240" s="1"/>
      <c r="AK240" s="1"/>
      <c r="AL240" s="1"/>
    </row>
    <row r="241" customFormat="false" ht="12.75" hidden="false" customHeight="tru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customFormat="false" ht="12.75" hidden="false" customHeight="tru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customFormat="false" ht="12.75" hidden="false" customHeight="tru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customFormat="false" ht="12.75" hidden="false" customHeight="tru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customFormat="false" ht="12.75" hidden="false" customHeight="tru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customFormat="false" ht="12.75" hidden="false" customHeight="tru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customFormat="false" ht="12.75" hidden="false" customHeight="true" outlineLevel="0" collapsed="false">
      <c r="A247" s="1"/>
      <c r="B247" s="1"/>
      <c r="C247" s="1"/>
      <c r="D247" s="1"/>
      <c r="E247" s="1"/>
      <c r="F247" s="1"/>
      <c r="G247" s="1"/>
      <c r="H247" s="117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customFormat="false" ht="12.75" hidden="false" customHeight="tru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customFormat="false" ht="12.75" hidden="false" customHeight="true" outlineLevel="0" collapsed="false">
      <c r="A249" s="1"/>
      <c r="B249" s="1"/>
      <c r="C249" s="1"/>
      <c r="D249" s="1"/>
      <c r="E249" s="1"/>
      <c r="F249" s="1"/>
      <c r="G249" s="224"/>
      <c r="H249" s="1"/>
      <c r="I249" s="11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customFormat="false" ht="12.75" hidden="false" customHeight="true" outlineLevel="0" collapsed="false">
      <c r="A250" s="1"/>
      <c r="B250" s="1"/>
      <c r="C250" s="1"/>
      <c r="D250" s="1"/>
      <c r="E250" s="1"/>
      <c r="F250" s="1"/>
      <c r="G250" s="224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customFormat="false" ht="12.75" hidden="false" customHeight="true" outlineLevel="0" collapsed="false">
      <c r="A251" s="1"/>
      <c r="B251" s="1"/>
      <c r="C251" s="1"/>
      <c r="D251" s="1"/>
      <c r="E251" s="1"/>
      <c r="F251" s="1"/>
      <c r="G251" s="1"/>
      <c r="H251" s="53"/>
      <c r="I251" s="5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customFormat="false" ht="12.75" hidden="false" customHeight="true" outlineLevel="0" collapsed="false">
      <c r="A252" s="163"/>
      <c r="B252" s="1"/>
      <c r="C252" s="1"/>
      <c r="D252" s="1"/>
      <c r="E252" s="1"/>
      <c r="F252" s="1"/>
      <c r="G252" s="1"/>
      <c r="H252" s="1"/>
      <c r="I252" s="53"/>
      <c r="J252" s="1"/>
      <c r="K252" s="1"/>
      <c r="L252" s="1"/>
      <c r="M252" s="1"/>
      <c r="N252" s="53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customFormat="false" ht="12.75" hidden="false" customHeight="true" outlineLevel="0" collapsed="false">
      <c r="A253" s="1"/>
      <c r="B253" s="1"/>
      <c r="C253" s="1"/>
      <c r="D253" s="1"/>
      <c r="E253" s="1"/>
      <c r="F253" s="1"/>
      <c r="G253" s="164"/>
      <c r="H253" s="1"/>
      <c r="I253" s="5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customFormat="false" ht="23.8" hidden="false" customHeight="true" outlineLevel="0" collapsed="false">
      <c r="A254" s="1"/>
      <c r="B254" s="1"/>
      <c r="C254" s="225" t="s">
        <v>243</v>
      </c>
      <c r="D254" s="226"/>
      <c r="E254" s="169"/>
      <c r="F254" s="1"/>
      <c r="G254" s="1"/>
      <c r="H254" s="1"/>
      <c r="I254" s="53"/>
      <c r="J254" s="117"/>
      <c r="K254" s="16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customFormat="false" ht="23.8" hidden="false" customHeight="true" outlineLevel="0" collapsed="false">
      <c r="A255" s="1"/>
      <c r="B255" s="1"/>
      <c r="C255" s="170"/>
      <c r="D255" s="170"/>
      <c r="E255" s="170"/>
      <c r="F255" s="171"/>
      <c r="G255" s="171"/>
      <c r="H255" s="171"/>
      <c r="I255" s="171"/>
      <c r="J255" s="171"/>
      <c r="K255" s="171"/>
      <c r="L255" s="170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customFormat="false" ht="23.8" hidden="false" customHeight="true" outlineLevel="0" collapsed="false">
      <c r="A256" s="172" t="s">
        <v>163</v>
      </c>
      <c r="B256" s="1"/>
      <c r="C256" s="173"/>
      <c r="D256" s="170"/>
      <c r="E256" s="174" t="s">
        <v>164</v>
      </c>
      <c r="F256" s="171"/>
      <c r="G256" s="171"/>
      <c r="H256" s="175" t="s">
        <v>165</v>
      </c>
      <c r="I256" s="171"/>
      <c r="J256" s="171"/>
      <c r="K256" s="170"/>
      <c r="L256" s="170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customFormat="false" ht="23.8" hidden="false" customHeight="true" outlineLevel="0" collapsed="false">
      <c r="A257" s="172" t="s">
        <v>166</v>
      </c>
      <c r="B257" s="1"/>
      <c r="C257" s="173"/>
      <c r="D257" s="173"/>
      <c r="E257" s="170"/>
      <c r="F257" s="171"/>
      <c r="G257" s="176"/>
      <c r="H257" s="170"/>
      <c r="I257" s="170"/>
      <c r="J257" s="170"/>
      <c r="K257" s="170"/>
      <c r="L257" s="170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customFormat="false" ht="23.8" hidden="false" customHeight="true" outlineLevel="0" collapsed="false">
      <c r="A258" s="1"/>
      <c r="B258" s="1"/>
      <c r="C258" s="170"/>
      <c r="D258" s="173"/>
      <c r="E258" s="177"/>
      <c r="F258" s="177" t="s">
        <v>244</v>
      </c>
      <c r="G258" s="170"/>
      <c r="H258" s="170"/>
      <c r="I258" s="170"/>
      <c r="J258" s="170"/>
      <c r="K258" s="170"/>
      <c r="L258" s="170"/>
      <c r="M258" s="1"/>
      <c r="N258" s="179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customFormat="false" ht="23.8" hidden="false" customHeight="true" outlineLevel="0" collapsed="false">
      <c r="A259" s="1"/>
      <c r="B259" s="1"/>
      <c r="C259" s="170"/>
      <c r="D259" s="170"/>
      <c r="E259" s="170"/>
      <c r="F259" s="170"/>
      <c r="G259" s="170"/>
      <c r="H259" s="170"/>
      <c r="I259" s="170"/>
      <c r="J259" s="170"/>
      <c r="K259" s="170"/>
      <c r="L259" s="170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customFormat="false" ht="23.8" hidden="false" customHeight="true" outlineLevel="0" collapsed="false">
      <c r="A260" s="1"/>
      <c r="B260" s="1"/>
      <c r="C260" s="170"/>
      <c r="D260" s="173"/>
      <c r="E260" s="170"/>
      <c r="F260" s="170"/>
      <c r="G260" s="170"/>
      <c r="H260" s="170"/>
      <c r="I260" s="170"/>
      <c r="J260" s="170"/>
      <c r="K260" s="170"/>
      <c r="L260" s="170"/>
      <c r="M260" s="1"/>
      <c r="N260" s="18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customFormat="false" ht="19.3" hidden="false" customHeight="true" outlineLevel="0" collapsed="false">
      <c r="A261" s="1"/>
      <c r="B261" s="1"/>
      <c r="C261" s="1"/>
      <c r="D261" s="1"/>
      <c r="E261" s="131"/>
      <c r="F261" s="131"/>
      <c r="G261" s="131"/>
      <c r="H261" s="131"/>
      <c r="I261" s="1"/>
      <c r="J261" s="1"/>
      <c r="K261" s="1"/>
      <c r="L261" s="1"/>
      <c r="M261" s="1"/>
      <c r="N261" s="1"/>
      <c r="O261" s="1"/>
      <c r="P261" s="1"/>
      <c r="Q261" s="182" t="n">
        <v>195</v>
      </c>
      <c r="R261" s="182" t="n">
        <v>210</v>
      </c>
      <c r="S261" s="182" t="n">
        <v>225</v>
      </c>
      <c r="T261" s="182" t="n">
        <v>240</v>
      </c>
      <c r="U261" s="182" t="n">
        <v>255</v>
      </c>
      <c r="V261" s="182" t="n">
        <v>270</v>
      </c>
      <c r="W261" s="182" t="n">
        <v>285</v>
      </c>
      <c r="X261" s="182" t="n">
        <v>300</v>
      </c>
      <c r="Y261" s="182" t="n">
        <v>315</v>
      </c>
      <c r="Z261" s="182" t="n">
        <v>330</v>
      </c>
      <c r="AA261" s="182" t="n">
        <v>345</v>
      </c>
      <c r="AB261" s="183" t="n">
        <v>359.99</v>
      </c>
      <c r="AC261" s="184" t="n">
        <v>360</v>
      </c>
      <c r="AD261" s="185" t="s">
        <v>169</v>
      </c>
      <c r="AE261" s="1"/>
      <c r="AF261" s="1"/>
      <c r="AG261" s="1"/>
      <c r="AH261" s="1"/>
      <c r="AI261" s="1"/>
      <c r="AJ261" s="1"/>
      <c r="AK261" s="1"/>
      <c r="AL261" s="1"/>
    </row>
    <row r="262" customFormat="false" ht="19.3" hidden="false" customHeight="true" outlineLevel="0" collapsed="false">
      <c r="A262" s="1"/>
      <c r="B262" s="186"/>
      <c r="C262" s="187" t="s">
        <v>171</v>
      </c>
      <c r="D262" s="188" t="n">
        <v>0.001</v>
      </c>
      <c r="E262" s="182" t="n">
        <v>15</v>
      </c>
      <c r="F262" s="182" t="n">
        <v>30</v>
      </c>
      <c r="G262" s="182" t="n">
        <v>45</v>
      </c>
      <c r="H262" s="182" t="n">
        <v>60</v>
      </c>
      <c r="I262" s="182" t="n">
        <v>75</v>
      </c>
      <c r="J262" s="182" t="n">
        <v>90</v>
      </c>
      <c r="K262" s="182" t="n">
        <v>105</v>
      </c>
      <c r="L262" s="182" t="n">
        <v>120</v>
      </c>
      <c r="M262" s="182" t="n">
        <v>135</v>
      </c>
      <c r="N262" s="182" t="n">
        <v>150</v>
      </c>
      <c r="O262" s="182" t="n">
        <v>165</v>
      </c>
      <c r="P262" s="182" t="n">
        <v>180</v>
      </c>
      <c r="Q262" s="189" t="n">
        <v>-165</v>
      </c>
      <c r="R262" s="189" t="n">
        <v>-150</v>
      </c>
      <c r="S262" s="189" t="n">
        <v>-135</v>
      </c>
      <c r="T262" s="189" t="n">
        <v>-120</v>
      </c>
      <c r="U262" s="189" t="n">
        <v>-105</v>
      </c>
      <c r="V262" s="189" t="n">
        <v>-90</v>
      </c>
      <c r="W262" s="189" t="n">
        <v>-75</v>
      </c>
      <c r="X262" s="189" t="n">
        <v>-60</v>
      </c>
      <c r="Y262" s="189" t="n">
        <v>-45</v>
      </c>
      <c r="Z262" s="189" t="n">
        <v>-30</v>
      </c>
      <c r="AA262" s="189" t="n">
        <v>-15</v>
      </c>
      <c r="AB262" s="183" t="n">
        <v>-0.01</v>
      </c>
      <c r="AC262" s="184" t="n">
        <v>0</v>
      </c>
      <c r="AD262" s="184" t="n">
        <v>0</v>
      </c>
      <c r="AE262" s="1"/>
      <c r="AF262" s="1"/>
      <c r="AG262" s="1"/>
      <c r="AH262" s="1"/>
      <c r="AI262" s="1"/>
      <c r="AJ262" s="1"/>
      <c r="AK262" s="1"/>
      <c r="AL262" s="1"/>
    </row>
    <row r="263" customFormat="false" ht="19.3" hidden="false" customHeight="true" outlineLevel="0" collapsed="false">
      <c r="A263" s="190"/>
      <c r="B263" s="191" t="s">
        <v>173</v>
      </c>
      <c r="C263" s="1"/>
      <c r="D263" s="192" t="n">
        <f aca="false">RADIANS(MOD(D262-180,-360)+180)</f>
        <v>1.74532925200266E-005</v>
      </c>
      <c r="E263" s="192" t="n">
        <f aca="false">RADIANS(MOD(E262-180,-360)+180)</f>
        <v>0.261799387799149</v>
      </c>
      <c r="F263" s="192" t="n">
        <f aca="false">RADIANS(MOD(F262-180,-360)+180)</f>
        <v>0.523598775598299</v>
      </c>
      <c r="G263" s="192" t="n">
        <f aca="false">RADIANS(MOD(G262-180,-360)+180)</f>
        <v>0.785398163397448</v>
      </c>
      <c r="H263" s="192" t="n">
        <f aca="false">RADIANS(MOD(H262-180,-360)+180)</f>
        <v>1.0471975511966</v>
      </c>
      <c r="I263" s="192" t="n">
        <f aca="false">RADIANS(MOD(I262-180,-360)+180)</f>
        <v>1.30899693899575</v>
      </c>
      <c r="J263" s="192" t="n">
        <f aca="false">RADIANS(MOD(J262-180,-360)+180)</f>
        <v>1.5707963267949</v>
      </c>
      <c r="K263" s="192" t="n">
        <f aca="false">RADIANS(MOD(K262-180,-360)+180)</f>
        <v>1.83259571459405</v>
      </c>
      <c r="L263" s="192" t="n">
        <f aca="false">RADIANS(MOD(L262-180,-360)+180)</f>
        <v>2.0943951023932</v>
      </c>
      <c r="M263" s="192" t="n">
        <f aca="false">RADIANS(MOD(M262-180,-360)+180)</f>
        <v>2.35619449019234</v>
      </c>
      <c r="N263" s="192" t="n">
        <f aca="false">RADIANS(MOD(N262-180,-360)+180)</f>
        <v>2.61799387799149</v>
      </c>
      <c r="O263" s="192" t="n">
        <f aca="false">RADIANS(MOD(O262-180,-360)+180)</f>
        <v>2.87979326579064</v>
      </c>
      <c r="P263" s="192" t="n">
        <f aca="false">RADIANS(MOD(P262-180,-360)+180)</f>
        <v>3.14159265358979</v>
      </c>
      <c r="Q263" s="193" t="n">
        <f aca="false">RADIANS(MOD(Q262-180,-360)+180)</f>
        <v>-2.87979326579064</v>
      </c>
      <c r="R263" s="193" t="n">
        <f aca="false">RADIANS(MOD(R262-180,-360)+180)</f>
        <v>-2.61799387799149</v>
      </c>
      <c r="S263" s="193" t="n">
        <f aca="false">RADIANS(MOD(S262-180,-360)+180)</f>
        <v>-2.35619449019234</v>
      </c>
      <c r="T263" s="193" t="n">
        <f aca="false">RADIANS(MOD(T262-180,-360)+180)</f>
        <v>-2.0943951023932</v>
      </c>
      <c r="U263" s="193" t="n">
        <f aca="false">RADIANS(MOD(U262-180,-360)+180)</f>
        <v>-1.83259571459405</v>
      </c>
      <c r="V263" s="193" t="n">
        <f aca="false">RADIANS(MOD(V262-180,-360)+180)</f>
        <v>-1.5707963267949</v>
      </c>
      <c r="W263" s="193" t="n">
        <f aca="false">RADIANS(MOD(W262-180,-360)+180)</f>
        <v>-1.30899693899575</v>
      </c>
      <c r="X263" s="193" t="n">
        <f aca="false">RADIANS(MOD(X262-180,-360)+180)</f>
        <v>-1.0471975511966</v>
      </c>
      <c r="Y263" s="193" t="n">
        <f aca="false">RADIANS(MOD(Y262-180,-360)+180)</f>
        <v>-0.785398163397448</v>
      </c>
      <c r="Z263" s="193" t="n">
        <f aca="false">RADIANS(MOD(Z262-180,-360)+180)</f>
        <v>-0.523598775598299</v>
      </c>
      <c r="AA263" s="193" t="n">
        <f aca="false">RADIANS(MOD(AA262-180,-360)+180)</f>
        <v>-0.261799387799149</v>
      </c>
      <c r="AB263" s="193" t="n">
        <f aca="false">RADIANS(MOD(AB262-180,-360)+180)</f>
        <v>-0.000174532925199274</v>
      </c>
      <c r="AC263" s="193" t="n">
        <f aca="false">RADIANS(MOD(AC262-180,-360)+180)</f>
        <v>0</v>
      </c>
      <c r="AD263" s="193" t="n">
        <f aca="false">RADIANS(MOD(AD262-180,-360)+180)</f>
        <v>0</v>
      </c>
      <c r="AE263" s="1"/>
      <c r="AF263" s="1"/>
      <c r="AG263" s="1"/>
      <c r="AH263" s="1"/>
      <c r="AI263" s="1"/>
      <c r="AJ263" s="1"/>
      <c r="AK263" s="1"/>
      <c r="AL263" s="1"/>
    </row>
    <row r="264" customFormat="false" ht="12.75" hidden="false" customHeight="true" outlineLevel="0" collapsed="false">
      <c r="A264" s="192" t="n">
        <f aca="false">RADIANS(MOD(B264-180,-360)+180)</f>
        <v>1.74532925200266E-005</v>
      </c>
      <c r="B264" s="188" t="n">
        <v>0.001</v>
      </c>
      <c r="C264" s="1"/>
      <c r="D264" s="227" t="n">
        <f aca="false">DEGREES( ACOS( COS(D$263)  *  SIN( RADIANS($B264 + 90))))</f>
        <v>0.00141421361485823</v>
      </c>
      <c r="E264" s="227" t="n">
        <f aca="false">DEGREES( ACOS( COS(E$263)  *  SIN( RADIANS($B264 + 90))))</f>
        <v>15.0000000325683</v>
      </c>
      <c r="F264" s="227" t="n">
        <f aca="false">DEGREES( ACOS( COS(F$263)  *  SIN( RADIANS($B264 + 90))))</f>
        <v>30.000000015115</v>
      </c>
      <c r="G264" s="227" t="n">
        <f aca="false">DEGREES( ACOS( COS(G$263)  *  SIN( RADIANS($B264 + 90))))</f>
        <v>45.0000000087267</v>
      </c>
      <c r="H264" s="227" t="n">
        <f aca="false">DEGREES( ACOS( COS(H$263)  *  SIN( RADIANS($B264 + 90))))</f>
        <v>60.0000000050383</v>
      </c>
      <c r="I264" s="227" t="n">
        <f aca="false">DEGREES( ACOS( COS(I$263)  *  SIN( RADIANS($B264 + 90))))</f>
        <v>75.0000000023383</v>
      </c>
      <c r="J264" s="227" t="n">
        <f aca="false">DEGREES( ACOS( COS(J$263)  *  SIN( RADIANS($B264 + 90))))</f>
        <v>90</v>
      </c>
      <c r="K264" s="227" t="n">
        <f aca="false">DEGREES( ACOS( COS(K$263)  *  SIN( RADIANS($B264 + 90))))</f>
        <v>104.999999997662</v>
      </c>
      <c r="L264" s="227" t="n">
        <f aca="false">DEGREES( ACOS( COS(L$263)  *  SIN( RADIANS($B264 + 90))))</f>
        <v>119.999999994962</v>
      </c>
      <c r="M264" s="227" t="n">
        <f aca="false">DEGREES( ACOS( COS(M$263)  *  SIN( RADIANS($B264 + 90))))</f>
        <v>134.999999991273</v>
      </c>
      <c r="N264" s="227" t="n">
        <f aca="false">DEGREES( ACOS( COS(N$263)  *  SIN( RADIANS($B264 + 90))))</f>
        <v>149.999999984885</v>
      </c>
      <c r="O264" s="227" t="n">
        <f aca="false">DEGREES( ACOS( COS(O$263)  *  SIN( RADIANS($B264 + 90))))</f>
        <v>164.999999967432</v>
      </c>
      <c r="P264" s="227" t="n">
        <f aca="false">DEGREES( ACOS( COS(P$263)  *  SIN( RADIANS($B264 + 90))))</f>
        <v>179.998999999963</v>
      </c>
      <c r="Q264" s="227" t="n">
        <f aca="false">DEGREES( ACOS( COS(Q$263)  *  SIN( RADIANS($B264 + 90))))</f>
        <v>164.999999967432</v>
      </c>
      <c r="R264" s="227" t="n">
        <f aca="false">DEGREES( ACOS( COS(R$263)  *  SIN( RADIANS($B264 + 90))))</f>
        <v>149.999999984885</v>
      </c>
      <c r="S264" s="227" t="n">
        <f aca="false">DEGREES( ACOS( COS(S$263)  *  SIN( RADIANS($B264 + 90))))</f>
        <v>134.999999991273</v>
      </c>
      <c r="T264" s="227" t="n">
        <f aca="false">DEGREES( ACOS( COS(T$263)  *  SIN( RADIANS($B264 + 90))))</f>
        <v>119.999999994962</v>
      </c>
      <c r="U264" s="227" t="n">
        <f aca="false">DEGREES( ACOS( COS(U$263)  *  SIN( RADIANS($B264 + 90))))</f>
        <v>104.999999997662</v>
      </c>
      <c r="V264" s="227" t="n">
        <f aca="false">DEGREES( ACOS( COS(V$263)  *  SIN( RADIANS($B264 + 90))))</f>
        <v>90</v>
      </c>
      <c r="W264" s="227" t="n">
        <f aca="false">DEGREES( ACOS( COS(W$263)  *  SIN( RADIANS($B264 + 90))))</f>
        <v>75.0000000023383</v>
      </c>
      <c r="X264" s="227" t="n">
        <f aca="false">DEGREES( ACOS( COS(X$263)  *  SIN( RADIANS($B264 + 90))))</f>
        <v>60.0000000050383</v>
      </c>
      <c r="Y264" s="227" t="n">
        <f aca="false">DEGREES( ACOS( COS(Y$263)  *  SIN( RADIANS($B264 + 90))))</f>
        <v>45.0000000087267</v>
      </c>
      <c r="Z264" s="227" t="n">
        <f aca="false">DEGREES( ACOS( COS(Z$263)  *  SIN( RADIANS($B264 + 90))))</f>
        <v>30.000000015115</v>
      </c>
      <c r="AA264" s="227" t="n">
        <f aca="false">DEGREES( ACOS( COS(AA$263)  *  SIN( RADIANS($B264 + 90))))</f>
        <v>15.0000000325683</v>
      </c>
      <c r="AB264" s="227" t="n">
        <f aca="false">DEGREES( ACOS( COS(AB$263)  *  SIN( RADIANS($B264 + 90))))</f>
        <v>0.0100498756078044</v>
      </c>
      <c r="AC264" s="195" t="n">
        <f aca="false">DEGREES( ACOS( COS(AC$263)  *  SIN( RADIANS($B264 + 90))))</f>
        <v>0.0010000000370999</v>
      </c>
      <c r="AD264" s="195" t="n">
        <f aca="false">DEGREES( ACOS( COS(AD$263)  *  SIN( RADIANS($B264 + 90))))</f>
        <v>0.0010000000370999</v>
      </c>
      <c r="AE264" s="1"/>
      <c r="AF264" s="1"/>
      <c r="AG264" s="1"/>
      <c r="AH264" s="1"/>
      <c r="AI264" s="1"/>
      <c r="AJ264" s="1"/>
      <c r="AK264" s="1"/>
      <c r="AL264" s="1"/>
    </row>
    <row r="265" customFormat="false" ht="12.75" hidden="false" customHeight="true" outlineLevel="0" collapsed="false">
      <c r="A265" s="192" t="n">
        <f aca="false">RADIANS(MOD(B265-180,-360)+180)</f>
        <v>0.261799387799149</v>
      </c>
      <c r="B265" s="182" t="n">
        <v>15</v>
      </c>
      <c r="C265" s="1"/>
      <c r="D265" s="227" t="n">
        <f aca="false">DEGREES( ACOS( COS(D$263)  *  SIN( RADIANS($B265 + 90))))</f>
        <v>15.0000000325683</v>
      </c>
      <c r="E265" s="210" t="n">
        <f aca="false">DEGREES( ACOS( COS(E$263)  *  SIN( RADIANS($B265 + 90))))</f>
        <v>21.0905811789991</v>
      </c>
      <c r="F265" s="210" t="n">
        <f aca="false">DEGREES( ACOS( COS(F$263)  *  SIN( RADIANS($B265 + 90))))</f>
        <v>33.2259422032876</v>
      </c>
      <c r="G265" s="210" t="n">
        <f aca="false">DEGREES( ACOS( COS(G$263)  *  SIN( RADIANS($B265 + 90))))</f>
        <v>46.9204828581291</v>
      </c>
      <c r="H265" s="210" t="n">
        <f aca="false">DEGREES( ACOS( COS(H$263)  *  SIN( RADIANS($B265 + 90))))</f>
        <v>61.1209059825724</v>
      </c>
      <c r="I265" s="210" t="n">
        <f aca="false">DEGREES( ACOS( COS(I$263)  *  SIN( RADIANS($B265 + 90))))</f>
        <v>75.5224878140701</v>
      </c>
      <c r="J265" s="227" t="n">
        <f aca="false">DEGREES( ACOS( COS(J$263)  *  SIN( RADIANS($B265 + 90))))</f>
        <v>90</v>
      </c>
      <c r="K265" s="210" t="n">
        <f aca="false">DEGREES( ACOS( COS(K$263)  *  SIN( RADIANS($B265 + 90))))</f>
        <v>104.47751218593</v>
      </c>
      <c r="L265" s="210" t="n">
        <f aca="false">DEGREES( ACOS( COS(L$263)  *  SIN( RADIANS($B265 + 90))))</f>
        <v>118.879094017428</v>
      </c>
      <c r="M265" s="210" t="n">
        <f aca="false">DEGREES( ACOS( COS(M$263)  *  SIN( RADIANS($B265 + 90))))</f>
        <v>133.079517141871</v>
      </c>
      <c r="N265" s="210" t="n">
        <f aca="false">DEGREES( ACOS( COS(N$263)  *  SIN( RADIANS($B265 + 90))))</f>
        <v>146.774057796712</v>
      </c>
      <c r="O265" s="210" t="n">
        <f aca="false">DEGREES( ACOS( COS(O$263)  *  SIN( RADIANS($B265 + 90))))</f>
        <v>158.909418821001</v>
      </c>
      <c r="P265" s="227" t="n">
        <f aca="false">DEGREES( ACOS( COS(P$263)  *  SIN( RADIANS($B265 + 90))))</f>
        <v>165</v>
      </c>
      <c r="Q265" s="210" t="n">
        <f aca="false">DEGREES( ACOS( COS(Q$263)  *  SIN( RADIANS($B265 + 90))))</f>
        <v>158.909418821001</v>
      </c>
      <c r="R265" s="210" t="n">
        <f aca="false">DEGREES( ACOS( COS(R$263)  *  SIN( RADIANS($B265 + 90))))</f>
        <v>146.774057796712</v>
      </c>
      <c r="S265" s="210" t="n">
        <f aca="false">DEGREES( ACOS( COS(S$263)  *  SIN( RADIANS($B265 + 90))))</f>
        <v>133.079517141871</v>
      </c>
      <c r="T265" s="210" t="n">
        <f aca="false">DEGREES( ACOS( COS(T$263)  *  SIN( RADIANS($B265 + 90))))</f>
        <v>118.879094017428</v>
      </c>
      <c r="U265" s="210" t="n">
        <f aca="false">DEGREES( ACOS( COS(U$263)  *  SIN( RADIANS($B265 + 90))))</f>
        <v>104.47751218593</v>
      </c>
      <c r="V265" s="227" t="n">
        <f aca="false">DEGREES( ACOS( COS(V$263)  *  SIN( RADIANS($B265 + 90))))</f>
        <v>90</v>
      </c>
      <c r="W265" s="210" t="n">
        <f aca="false">DEGREES( ACOS( COS(W$263)  *  SIN( RADIANS($B265 + 90))))</f>
        <v>75.5224878140701</v>
      </c>
      <c r="X265" s="210" t="n">
        <f aca="false">DEGREES( ACOS( COS(X$263)  *  SIN( RADIANS($B265 + 90))))</f>
        <v>61.1209059825724</v>
      </c>
      <c r="Y265" s="210" t="n">
        <f aca="false">DEGREES( ACOS( COS(Y$263)  *  SIN( RADIANS($B265 + 90))))</f>
        <v>46.9204828581291</v>
      </c>
      <c r="Z265" s="210" t="n">
        <f aca="false">DEGREES( ACOS( COS(Z$263)  *  SIN( RADIANS($B265 + 90))))</f>
        <v>33.2259422032876</v>
      </c>
      <c r="AA265" s="210" t="n">
        <f aca="false">DEGREES( ACOS( COS(AA$263)  *  SIN( RADIANS($B265 + 90))))</f>
        <v>21.0905811789991</v>
      </c>
      <c r="AB265" s="227" t="n">
        <f aca="false">DEGREES( ACOS( COS(AB$263)  *  SIN( RADIANS($B265 + 90))))</f>
        <v>15.0000032568284</v>
      </c>
      <c r="AC265" s="195" t="n">
        <f aca="false">DEGREES( ACOS( COS(AC$263)  *  SIN( RADIANS($B265 + 90))))</f>
        <v>15</v>
      </c>
      <c r="AD265" s="195" t="n">
        <f aca="false">DEGREES( ACOS( COS(AD$263)  *  SIN( RADIANS($B265 + 90))))</f>
        <v>15</v>
      </c>
      <c r="AE265" s="1"/>
      <c r="AF265" s="1"/>
      <c r="AG265" s="1"/>
      <c r="AH265" s="1"/>
      <c r="AI265" s="1"/>
      <c r="AJ265" s="1"/>
      <c r="AK265" s="1"/>
      <c r="AL265" s="1"/>
    </row>
    <row r="266" customFormat="false" ht="12.75" hidden="false" customHeight="true" outlineLevel="0" collapsed="false">
      <c r="A266" s="192" t="n">
        <f aca="false">RADIANS(MOD(B266-180,-360)+180)</f>
        <v>0.523598775598299</v>
      </c>
      <c r="B266" s="182" t="n">
        <v>30</v>
      </c>
      <c r="C266" s="1"/>
      <c r="D266" s="227" t="n">
        <f aca="false">DEGREES( ACOS( COS(D$263)  *  SIN( RADIANS($B266 + 90))))</f>
        <v>30.000000015115</v>
      </c>
      <c r="E266" s="210" t="n">
        <f aca="false">DEGREES( ACOS( COS(E$263)  *  SIN( RADIANS($B266 + 90))))</f>
        <v>33.2259422032876</v>
      </c>
      <c r="F266" s="210" t="n">
        <f aca="false">DEGREES( ACOS( COS(F$263)  *  SIN( RADIANS($B266 + 90))))</f>
        <v>41.4096221092709</v>
      </c>
      <c r="G266" s="210" t="n">
        <f aca="false">DEGREES( ACOS( COS(G$263)  *  SIN( RADIANS($B266 + 90))))</f>
        <v>52.238756092965</v>
      </c>
      <c r="H266" s="210" t="n">
        <f aca="false">DEGREES( ACOS( COS(H$263)  *  SIN( RADIANS($B266 + 90))))</f>
        <v>64.3410937267447</v>
      </c>
      <c r="I266" s="210" t="n">
        <f aca="false">DEGREES( ACOS( COS(I$263)  *  SIN( RADIANS($B266 + 90))))</f>
        <v>77.0474603577776</v>
      </c>
      <c r="J266" s="227" t="n">
        <f aca="false">DEGREES( ACOS( COS(J$263)  *  SIN( RADIANS($B266 + 90))))</f>
        <v>90</v>
      </c>
      <c r="K266" s="210" t="n">
        <f aca="false">DEGREES( ACOS( COS(K$263)  *  SIN( RADIANS($B266 + 90))))</f>
        <v>102.952539642222</v>
      </c>
      <c r="L266" s="210" t="n">
        <f aca="false">DEGREES( ACOS( COS(L$263)  *  SIN( RADIANS($B266 + 90))))</f>
        <v>115.658906273255</v>
      </c>
      <c r="M266" s="210" t="n">
        <f aca="false">DEGREES( ACOS( COS(M$263)  *  SIN( RADIANS($B266 + 90))))</f>
        <v>127.761243907035</v>
      </c>
      <c r="N266" s="210" t="n">
        <f aca="false">DEGREES( ACOS( COS(N$263)  *  SIN( RADIANS($B266 + 90))))</f>
        <v>138.590377890729</v>
      </c>
      <c r="O266" s="210" t="n">
        <f aca="false">DEGREES( ACOS( COS(O$263)  *  SIN( RADIANS($B266 + 90))))</f>
        <v>146.774057796712</v>
      </c>
      <c r="P266" s="227" t="n">
        <f aca="false">DEGREES( ACOS( COS(P$263)  *  SIN( RADIANS($B266 + 90))))</f>
        <v>150</v>
      </c>
      <c r="Q266" s="210" t="n">
        <f aca="false">DEGREES( ACOS( COS(Q$263)  *  SIN( RADIANS($B266 + 90))))</f>
        <v>146.774057796712</v>
      </c>
      <c r="R266" s="210" t="n">
        <f aca="false">DEGREES( ACOS( COS(R$263)  *  SIN( RADIANS($B266 + 90))))</f>
        <v>138.590377890729</v>
      </c>
      <c r="S266" s="210" t="n">
        <f aca="false">DEGREES( ACOS( COS(S$263)  *  SIN( RADIANS($B266 + 90))))</f>
        <v>127.761243907035</v>
      </c>
      <c r="T266" s="210" t="n">
        <f aca="false">DEGREES( ACOS( COS(T$263)  *  SIN( RADIANS($B266 + 90))))</f>
        <v>115.658906273255</v>
      </c>
      <c r="U266" s="210" t="n">
        <f aca="false">DEGREES( ACOS( COS(U$263)  *  SIN( RADIANS($B266 + 90))))</f>
        <v>102.952539642222</v>
      </c>
      <c r="V266" s="227" t="n">
        <f aca="false">DEGREES( ACOS( COS(V$263)  *  SIN( RADIANS($B266 + 90))))</f>
        <v>90</v>
      </c>
      <c r="W266" s="210" t="n">
        <f aca="false">DEGREES( ACOS( COS(W$263)  *  SIN( RADIANS($B266 + 90))))</f>
        <v>77.0474603577776</v>
      </c>
      <c r="X266" s="210" t="n">
        <f aca="false">DEGREES( ACOS( COS(X$263)  *  SIN( RADIANS($B266 + 90))))</f>
        <v>64.3410937267447</v>
      </c>
      <c r="Y266" s="210" t="n">
        <f aca="false">DEGREES( ACOS( COS(Y$263)  *  SIN( RADIANS($B266 + 90))))</f>
        <v>52.238756092965</v>
      </c>
      <c r="Z266" s="210" t="n">
        <f aca="false">DEGREES( ACOS( COS(Z$263)  *  SIN( RADIANS($B266 + 90))))</f>
        <v>41.4096221092709</v>
      </c>
      <c r="AA266" s="210" t="n">
        <f aca="false">DEGREES( ACOS( COS(AA$263)  *  SIN( RADIANS($B266 + 90))))</f>
        <v>33.2259422032876</v>
      </c>
      <c r="AB266" s="227" t="n">
        <f aca="false">DEGREES( ACOS( COS(AB$263)  *  SIN( RADIANS($B266 + 90))))</f>
        <v>30.0000015114994</v>
      </c>
      <c r="AC266" s="195" t="n">
        <f aca="false">DEGREES( ACOS( COS(AC$263)  *  SIN( RADIANS($B266 + 90))))</f>
        <v>30</v>
      </c>
      <c r="AD266" s="195" t="n">
        <f aca="false">DEGREES( ACOS( COS(AD$263)  *  SIN( RADIANS($B266 + 90))))</f>
        <v>30</v>
      </c>
      <c r="AE266" s="1"/>
      <c r="AF266" s="1"/>
      <c r="AG266" s="1"/>
      <c r="AH266" s="1"/>
      <c r="AI266" s="1"/>
      <c r="AJ266" s="1"/>
      <c r="AK266" s="1"/>
      <c r="AL266" s="1"/>
    </row>
    <row r="267" customFormat="false" ht="12.75" hidden="false" customHeight="true" outlineLevel="0" collapsed="false">
      <c r="A267" s="192" t="n">
        <f aca="false">RADIANS(MOD(B267-180,-360)+180)</f>
        <v>0.785398163397448</v>
      </c>
      <c r="B267" s="182" t="n">
        <v>45</v>
      </c>
      <c r="C267" s="1"/>
      <c r="D267" s="227" t="n">
        <f aca="false">DEGREES( ACOS( COS(D$263)  *  SIN( RADIANS($B267 + 90))))</f>
        <v>45.0000000087267</v>
      </c>
      <c r="E267" s="210" t="n">
        <f aca="false">DEGREES( ACOS( COS(E$263)  *  SIN( RADIANS($B267 + 90))))</f>
        <v>46.9204828581291</v>
      </c>
      <c r="F267" s="210" t="n">
        <f aca="false">DEGREES( ACOS( COS(F$263)  *  SIN( RADIANS($B267 + 90))))</f>
        <v>52.238756092965</v>
      </c>
      <c r="G267" s="210" t="n">
        <f aca="false">DEGREES( ACOS( COS(G$263)  *  SIN( RADIANS($B267 + 90))))</f>
        <v>60</v>
      </c>
      <c r="H267" s="210" t="n">
        <f aca="false">DEGREES( ACOS( COS(H$263)  *  SIN( RADIANS($B267 + 90))))</f>
        <v>69.2951889453646</v>
      </c>
      <c r="I267" s="210" t="n">
        <f aca="false">DEGREES( ACOS( COS(I$263)  *  SIN( RADIANS($B267 + 90))))</f>
        <v>79.4547094105004</v>
      </c>
      <c r="J267" s="227" t="n">
        <f aca="false">DEGREES( ACOS( COS(J$263)  *  SIN( RADIANS($B267 + 90))))</f>
        <v>90</v>
      </c>
      <c r="K267" s="210" t="n">
        <f aca="false">DEGREES( ACOS( COS(K$263)  *  SIN( RADIANS($B267 + 90))))</f>
        <v>100.5452905895</v>
      </c>
      <c r="L267" s="210" t="n">
        <f aca="false">DEGREES( ACOS( COS(L$263)  *  SIN( RADIANS($B267 + 90))))</f>
        <v>110.704811054635</v>
      </c>
      <c r="M267" s="210" t="n">
        <f aca="false">DEGREES( ACOS( COS(M$263)  *  SIN( RADIANS($B267 + 90))))</f>
        <v>120</v>
      </c>
      <c r="N267" s="210" t="n">
        <f aca="false">DEGREES( ACOS( COS(N$263)  *  SIN( RADIANS($B267 + 90))))</f>
        <v>127.761243907035</v>
      </c>
      <c r="O267" s="210" t="n">
        <f aca="false">DEGREES( ACOS( COS(O$263)  *  SIN( RADIANS($B267 + 90))))</f>
        <v>133.079517141871</v>
      </c>
      <c r="P267" s="227" t="n">
        <f aca="false">DEGREES( ACOS( COS(P$263)  *  SIN( RADIANS($B267 + 90))))</f>
        <v>135</v>
      </c>
      <c r="Q267" s="210" t="n">
        <f aca="false">DEGREES( ACOS( COS(Q$263)  *  SIN( RADIANS($B267 + 90))))</f>
        <v>133.079517141871</v>
      </c>
      <c r="R267" s="210" t="n">
        <f aca="false">DEGREES( ACOS( COS(R$263)  *  SIN( RADIANS($B267 + 90))))</f>
        <v>127.761243907035</v>
      </c>
      <c r="S267" s="210" t="n">
        <f aca="false">DEGREES( ACOS( COS(S$263)  *  SIN( RADIANS($B267 + 90))))</f>
        <v>120</v>
      </c>
      <c r="T267" s="210" t="n">
        <f aca="false">DEGREES( ACOS( COS(T$263)  *  SIN( RADIANS($B267 + 90))))</f>
        <v>110.704811054635</v>
      </c>
      <c r="U267" s="210" t="n">
        <f aca="false">DEGREES( ACOS( COS(U$263)  *  SIN( RADIANS($B267 + 90))))</f>
        <v>100.5452905895</v>
      </c>
      <c r="V267" s="227" t="n">
        <f aca="false">DEGREES( ACOS( COS(V$263)  *  SIN( RADIANS($B267 + 90))))</f>
        <v>90</v>
      </c>
      <c r="W267" s="210" t="n">
        <f aca="false">DEGREES( ACOS( COS(W$263)  *  SIN( RADIANS($B267 + 90))))</f>
        <v>79.4547094105004</v>
      </c>
      <c r="X267" s="210" t="n">
        <f aca="false">DEGREES( ACOS( COS(X$263)  *  SIN( RADIANS($B267 + 90))))</f>
        <v>69.2951889453646</v>
      </c>
      <c r="Y267" s="210" t="n">
        <f aca="false">DEGREES( ACOS( COS(Y$263)  *  SIN( RADIANS($B267 + 90))))</f>
        <v>60</v>
      </c>
      <c r="Z267" s="210" t="n">
        <f aca="false">DEGREES( ACOS( COS(Z$263)  *  SIN( RADIANS($B267 + 90))))</f>
        <v>52.238756092965</v>
      </c>
      <c r="AA267" s="210" t="n">
        <f aca="false">DEGREES( ACOS( COS(AA$263)  *  SIN( RADIANS($B267 + 90))))</f>
        <v>46.9204828581291</v>
      </c>
      <c r="AB267" s="227" t="n">
        <f aca="false">DEGREES( ACOS( COS(AB$263)  *  SIN( RADIANS($B267 + 90))))</f>
        <v>45.0000008726646</v>
      </c>
      <c r="AC267" s="195" t="n">
        <f aca="false">DEGREES( ACOS( COS(AC$263)  *  SIN( RADIANS($B267 + 90))))</f>
        <v>45</v>
      </c>
      <c r="AD267" s="195" t="n">
        <f aca="false">DEGREES( ACOS( COS(AD$263)  *  SIN( RADIANS($B267 + 90))))</f>
        <v>45</v>
      </c>
      <c r="AE267" s="1"/>
      <c r="AF267" s="1"/>
      <c r="AG267" s="1"/>
      <c r="AH267" s="1"/>
      <c r="AI267" s="1"/>
      <c r="AJ267" s="1"/>
      <c r="AK267" s="1"/>
      <c r="AL267" s="1"/>
    </row>
    <row r="268" customFormat="false" ht="12.75" hidden="false" customHeight="true" outlineLevel="0" collapsed="false">
      <c r="A268" s="192" t="n">
        <f aca="false">RADIANS(MOD(B268-180,-360)+180)</f>
        <v>1.0471975511966</v>
      </c>
      <c r="B268" s="182" t="n">
        <v>60</v>
      </c>
      <c r="C268" s="1"/>
      <c r="D268" s="227" t="n">
        <f aca="false">DEGREES( ACOS( COS(D$263)  *  SIN( RADIANS($B268 + 90))))</f>
        <v>60.0000000050383</v>
      </c>
      <c r="E268" s="210" t="n">
        <f aca="false">DEGREES( ACOS( COS(E$263)  *  SIN( RADIANS($B268 + 90))))</f>
        <v>61.1209059825724</v>
      </c>
      <c r="F268" s="210" t="n">
        <f aca="false">DEGREES( ACOS( COS(F$263)  *  SIN( RADIANS($B268 + 90))))</f>
        <v>64.3410937267447</v>
      </c>
      <c r="G268" s="210" t="n">
        <f aca="false">DEGREES( ACOS( COS(G$263)  *  SIN( RADIANS($B268 + 90))))</f>
        <v>69.2951889453646</v>
      </c>
      <c r="H268" s="210" t="n">
        <f aca="false">DEGREES( ACOS( COS(H$263)  *  SIN( RADIANS($B268 + 90))))</f>
        <v>75.5224878140701</v>
      </c>
      <c r="I268" s="210" t="n">
        <f aca="false">DEGREES( ACOS( COS(I$263)  *  SIN( RADIANS($B268 + 90))))</f>
        <v>82.5645277738682</v>
      </c>
      <c r="J268" s="227" t="n">
        <f aca="false">DEGREES( ACOS( COS(J$263)  *  SIN( RADIANS($B268 + 90))))</f>
        <v>90</v>
      </c>
      <c r="K268" s="210" t="n">
        <f aca="false">DEGREES( ACOS( COS(K$263)  *  SIN( RADIANS($B268 + 90))))</f>
        <v>97.4354722261319</v>
      </c>
      <c r="L268" s="210" t="n">
        <f aca="false">DEGREES( ACOS( COS(L$263)  *  SIN( RADIANS($B268 + 90))))</f>
        <v>104.47751218593</v>
      </c>
      <c r="M268" s="210" t="n">
        <f aca="false">DEGREES( ACOS( COS(M$263)  *  SIN( RADIANS($B268 + 90))))</f>
        <v>110.704811054635</v>
      </c>
      <c r="N268" s="210" t="n">
        <f aca="false">DEGREES( ACOS( COS(N$263)  *  SIN( RADIANS($B268 + 90))))</f>
        <v>115.658906273255</v>
      </c>
      <c r="O268" s="210" t="n">
        <f aca="false">DEGREES( ACOS( COS(O$263)  *  SIN( RADIANS($B268 + 90))))</f>
        <v>118.879094017428</v>
      </c>
      <c r="P268" s="227" t="n">
        <f aca="false">DEGREES( ACOS( COS(P$263)  *  SIN( RADIANS($B268 + 90))))</f>
        <v>120</v>
      </c>
      <c r="Q268" s="210" t="n">
        <f aca="false">DEGREES( ACOS( COS(Q$263)  *  SIN( RADIANS($B268 + 90))))</f>
        <v>118.879094017428</v>
      </c>
      <c r="R268" s="210" t="n">
        <f aca="false">DEGREES( ACOS( COS(R$263)  *  SIN( RADIANS($B268 + 90))))</f>
        <v>115.658906273255</v>
      </c>
      <c r="S268" s="210" t="n">
        <f aca="false">DEGREES( ACOS( COS(S$263)  *  SIN( RADIANS($B268 + 90))))</f>
        <v>110.704811054635</v>
      </c>
      <c r="T268" s="210" t="n">
        <f aca="false">DEGREES( ACOS( COS(T$263)  *  SIN( RADIANS($B268 + 90))))</f>
        <v>104.47751218593</v>
      </c>
      <c r="U268" s="210" t="n">
        <f aca="false">DEGREES( ACOS( COS(U$263)  *  SIN( RADIANS($B268 + 90))))</f>
        <v>97.4354722261319</v>
      </c>
      <c r="V268" s="227" t="n">
        <f aca="false">DEGREES( ACOS( COS(V$263)  *  SIN( RADIANS($B268 + 90))))</f>
        <v>90</v>
      </c>
      <c r="W268" s="210" t="n">
        <f aca="false">DEGREES( ACOS( COS(W$263)  *  SIN( RADIANS($B268 + 90))))</f>
        <v>82.5645277738682</v>
      </c>
      <c r="X268" s="210" t="n">
        <f aca="false">DEGREES( ACOS( COS(X$263)  *  SIN( RADIANS($B268 + 90))))</f>
        <v>75.5224878140701</v>
      </c>
      <c r="Y268" s="210" t="n">
        <f aca="false">DEGREES( ACOS( COS(Y$263)  *  SIN( RADIANS($B268 + 90))))</f>
        <v>69.2951889453646</v>
      </c>
      <c r="Z268" s="210" t="n">
        <f aca="false">DEGREES( ACOS( COS(Z$263)  *  SIN( RADIANS($B268 + 90))))</f>
        <v>64.3410937267447</v>
      </c>
      <c r="AA268" s="210" t="n">
        <f aca="false">DEGREES( ACOS( COS(AA$263)  *  SIN( RADIANS($B268 + 90))))</f>
        <v>61.1209059825724</v>
      </c>
      <c r="AB268" s="227" t="n">
        <f aca="false">DEGREES( ACOS( COS(AB$263)  *  SIN( RADIANS($B268 + 90))))</f>
        <v>60.0000005038332</v>
      </c>
      <c r="AC268" s="195" t="n">
        <f aca="false">DEGREES( ACOS( COS(AC$263)  *  SIN( RADIANS($B268 + 90))))</f>
        <v>60</v>
      </c>
      <c r="AD268" s="195" t="n">
        <f aca="false">DEGREES( ACOS( COS(AD$263)  *  SIN( RADIANS($B268 + 90))))</f>
        <v>60</v>
      </c>
      <c r="AE268" s="1"/>
      <c r="AF268" s="1"/>
      <c r="AG268" s="1"/>
      <c r="AH268" s="1"/>
      <c r="AI268" s="1"/>
      <c r="AJ268" s="1"/>
      <c r="AK268" s="1"/>
      <c r="AL268" s="1"/>
    </row>
    <row r="269" customFormat="false" ht="12.75" hidden="false" customHeight="true" outlineLevel="0" collapsed="false">
      <c r="A269" s="192" t="n">
        <f aca="false">RADIANS(MOD(B269-180,-360)+180)</f>
        <v>1.30899693899575</v>
      </c>
      <c r="B269" s="182" t="n">
        <v>75</v>
      </c>
      <c r="C269" s="1"/>
      <c r="D269" s="227" t="n">
        <f aca="false">DEGREES( ACOS( COS(D$263)  *  SIN( RADIANS($B269 + 90))))</f>
        <v>75.0000000023383</v>
      </c>
      <c r="E269" s="210" t="n">
        <f aca="false">DEGREES( ACOS( COS(E$263)  *  SIN( RADIANS($B269 + 90))))</f>
        <v>75.5224878140701</v>
      </c>
      <c r="F269" s="210" t="n">
        <f aca="false">DEGREES( ACOS( COS(F$263)  *  SIN( RADIANS($B269 + 90))))</f>
        <v>77.0474603577776</v>
      </c>
      <c r="G269" s="210" t="n">
        <f aca="false">DEGREES( ACOS( COS(G$263)  *  SIN( RADIANS($B269 + 90))))</f>
        <v>79.4547094105004</v>
      </c>
      <c r="H269" s="210" t="n">
        <f aca="false">DEGREES( ACOS( COS(H$263)  *  SIN( RADIANS($B269 + 90))))</f>
        <v>82.5645277738682</v>
      </c>
      <c r="I269" s="210" t="n">
        <f aca="false">DEGREES( ACOS( COS(I$263)  *  SIN( RADIANS($B269 + 90))))</f>
        <v>86.1590342837419</v>
      </c>
      <c r="J269" s="227" t="n">
        <f aca="false">DEGREES( ACOS( COS(J$263)  *  SIN( RADIANS($B269 + 90))))</f>
        <v>90</v>
      </c>
      <c r="K269" s="210" t="n">
        <f aca="false">DEGREES( ACOS( COS(K$263)  *  SIN( RADIANS($B269 + 90))))</f>
        <v>93.8409657162582</v>
      </c>
      <c r="L269" s="210" t="n">
        <f aca="false">DEGREES( ACOS( COS(L$263)  *  SIN( RADIANS($B269 + 90))))</f>
        <v>97.4354722261319</v>
      </c>
      <c r="M269" s="210" t="n">
        <f aca="false">DEGREES( ACOS( COS(M$263)  *  SIN( RADIANS($B269 + 90))))</f>
        <v>100.5452905895</v>
      </c>
      <c r="N269" s="210" t="n">
        <f aca="false">DEGREES( ACOS( COS(N$263)  *  SIN( RADIANS($B269 + 90))))</f>
        <v>102.952539642222</v>
      </c>
      <c r="O269" s="210" t="n">
        <f aca="false">DEGREES( ACOS( COS(O$263)  *  SIN( RADIANS($B269 + 90))))</f>
        <v>104.47751218593</v>
      </c>
      <c r="P269" s="227" t="n">
        <f aca="false">DEGREES( ACOS( COS(P$263)  *  SIN( RADIANS($B269 + 90))))</f>
        <v>105</v>
      </c>
      <c r="Q269" s="210" t="n">
        <f aca="false">DEGREES( ACOS( COS(Q$263)  *  SIN( RADIANS($B269 + 90))))</f>
        <v>104.47751218593</v>
      </c>
      <c r="R269" s="210" t="n">
        <f aca="false">DEGREES( ACOS( COS(R$263)  *  SIN( RADIANS($B269 + 90))))</f>
        <v>102.952539642222</v>
      </c>
      <c r="S269" s="210" t="n">
        <f aca="false">DEGREES( ACOS( COS(S$263)  *  SIN( RADIANS($B269 + 90))))</f>
        <v>100.5452905895</v>
      </c>
      <c r="T269" s="210" t="n">
        <f aca="false">DEGREES( ACOS( COS(T$263)  *  SIN( RADIANS($B269 + 90))))</f>
        <v>97.4354722261319</v>
      </c>
      <c r="U269" s="210" t="n">
        <f aca="false">DEGREES( ACOS( COS(U$263)  *  SIN( RADIANS($B269 + 90))))</f>
        <v>93.8409657162582</v>
      </c>
      <c r="V269" s="227" t="n">
        <f aca="false">DEGREES( ACOS( COS(V$263)  *  SIN( RADIANS($B269 + 90))))</f>
        <v>90</v>
      </c>
      <c r="W269" s="210" t="n">
        <f aca="false">DEGREES( ACOS( COS(W$263)  *  SIN( RADIANS($B269 + 90))))</f>
        <v>86.1590342837419</v>
      </c>
      <c r="X269" s="210" t="n">
        <f aca="false">DEGREES( ACOS( COS(X$263)  *  SIN( RADIANS($B269 + 90))))</f>
        <v>82.5645277738682</v>
      </c>
      <c r="Y269" s="210" t="n">
        <f aca="false">DEGREES( ACOS( COS(Y$263)  *  SIN( RADIANS($B269 + 90))))</f>
        <v>79.4547094105004</v>
      </c>
      <c r="Z269" s="210" t="n">
        <f aca="false">DEGREES( ACOS( COS(Z$263)  *  SIN( RADIANS($B269 + 90))))</f>
        <v>77.0474603577776</v>
      </c>
      <c r="AA269" s="210" t="n">
        <f aca="false">DEGREES( ACOS( COS(AA$263)  *  SIN( RADIANS($B269 + 90))))</f>
        <v>75.5224878140701</v>
      </c>
      <c r="AB269" s="227" t="n">
        <f aca="false">DEGREES( ACOS( COS(AB$263)  *  SIN( RADIANS($B269 + 90))))</f>
        <v>75.0000002338298</v>
      </c>
      <c r="AC269" s="195" t="n">
        <f aca="false">DEGREES( ACOS( COS(AC$263)  *  SIN( RADIANS($B269 + 90))))</f>
        <v>75</v>
      </c>
      <c r="AD269" s="195" t="n">
        <f aca="false">DEGREES( ACOS( COS(AD$263)  *  SIN( RADIANS($B269 + 90))))</f>
        <v>75</v>
      </c>
      <c r="AE269" s="1"/>
      <c r="AF269" s="1"/>
      <c r="AG269" s="1"/>
      <c r="AH269" s="1"/>
      <c r="AI269" s="1"/>
      <c r="AJ269" s="1"/>
      <c r="AK269" s="1"/>
      <c r="AL269" s="1"/>
    </row>
    <row r="270" customFormat="false" ht="12.75" hidden="false" customHeight="true" outlineLevel="0" collapsed="false">
      <c r="A270" s="192" t="n">
        <f aca="false">RADIANS(MOD(B270-180,-360)+180)</f>
        <v>1.5707963267949</v>
      </c>
      <c r="B270" s="182" t="n">
        <v>90</v>
      </c>
      <c r="C270" s="1"/>
      <c r="D270" s="227" t="n">
        <f aca="false">DEGREES( ACOS( COS(D$263)  *  SIN( RADIANS($B270 + 90))))</f>
        <v>90</v>
      </c>
      <c r="E270" s="227" t="n">
        <f aca="false">DEGREES( ACOS( COS(E$263)  *  SIN( RADIANS($B270 + 90))))</f>
        <v>90</v>
      </c>
      <c r="F270" s="227" t="n">
        <f aca="false">DEGREES( ACOS( COS(F$263)  *  SIN( RADIANS($B270 + 90))))</f>
        <v>90</v>
      </c>
      <c r="G270" s="227" t="n">
        <f aca="false">DEGREES( ACOS( COS(G$263)  *  SIN( RADIANS($B270 + 90))))</f>
        <v>90</v>
      </c>
      <c r="H270" s="227" t="n">
        <f aca="false">DEGREES( ACOS( COS(H$263)  *  SIN( RADIANS($B270 + 90))))</f>
        <v>90</v>
      </c>
      <c r="I270" s="227" t="n">
        <f aca="false">DEGREES( ACOS( COS(I$263)  *  SIN( RADIANS($B270 + 90))))</f>
        <v>90</v>
      </c>
      <c r="J270" s="227" t="n">
        <f aca="false">DEGREES( ACOS( COS(J$263)  *  SIN( RADIANS($B270 + 90))))</f>
        <v>90</v>
      </c>
      <c r="K270" s="227" t="n">
        <f aca="false">DEGREES( ACOS( COS(K$263)  *  SIN( RADIANS($B270 + 90))))</f>
        <v>90</v>
      </c>
      <c r="L270" s="227" t="n">
        <f aca="false">DEGREES( ACOS( COS(L$263)  *  SIN( RADIANS($B270 + 90))))</f>
        <v>90</v>
      </c>
      <c r="M270" s="227" t="n">
        <f aca="false">DEGREES( ACOS( COS(M$263)  *  SIN( RADIANS($B270 + 90))))</f>
        <v>90</v>
      </c>
      <c r="N270" s="227" t="n">
        <f aca="false">DEGREES( ACOS( COS(N$263)  *  SIN( RADIANS($B270 + 90))))</f>
        <v>90</v>
      </c>
      <c r="O270" s="227" t="n">
        <f aca="false">DEGREES( ACOS( COS(O$263)  *  SIN( RADIANS($B270 + 90))))</f>
        <v>90</v>
      </c>
      <c r="P270" s="227" t="n">
        <f aca="false">DEGREES( ACOS( COS(P$263)  *  SIN( RADIANS($B270 + 90))))</f>
        <v>90</v>
      </c>
      <c r="Q270" s="227" t="n">
        <f aca="false">DEGREES( ACOS( COS(Q$263)  *  SIN( RADIANS($B270 + 90))))</f>
        <v>90</v>
      </c>
      <c r="R270" s="227" t="n">
        <f aca="false">DEGREES( ACOS( COS(R$263)  *  SIN( RADIANS($B270 + 90))))</f>
        <v>90</v>
      </c>
      <c r="S270" s="227" t="n">
        <f aca="false">DEGREES( ACOS( COS(S$263)  *  SIN( RADIANS($B270 + 90))))</f>
        <v>90</v>
      </c>
      <c r="T270" s="227" t="n">
        <f aca="false">DEGREES( ACOS( COS(T$263)  *  SIN( RADIANS($B270 + 90))))</f>
        <v>90</v>
      </c>
      <c r="U270" s="227" t="n">
        <f aca="false">DEGREES( ACOS( COS(U$263)  *  SIN( RADIANS($B270 + 90))))</f>
        <v>90</v>
      </c>
      <c r="V270" s="227" t="n">
        <f aca="false">DEGREES( ACOS( COS(V$263)  *  SIN( RADIANS($B270 + 90))))</f>
        <v>90</v>
      </c>
      <c r="W270" s="227" t="n">
        <f aca="false">DEGREES( ACOS( COS(W$263)  *  SIN( RADIANS($B270 + 90))))</f>
        <v>90</v>
      </c>
      <c r="X270" s="227" t="n">
        <f aca="false">DEGREES( ACOS( COS(X$263)  *  SIN( RADIANS($B270 + 90))))</f>
        <v>90</v>
      </c>
      <c r="Y270" s="227" t="n">
        <f aca="false">DEGREES( ACOS( COS(Y$263)  *  SIN( RADIANS($B270 + 90))))</f>
        <v>90</v>
      </c>
      <c r="Z270" s="227" t="n">
        <f aca="false">DEGREES( ACOS( COS(Z$263)  *  SIN( RADIANS($B270 + 90))))</f>
        <v>90</v>
      </c>
      <c r="AA270" s="227" t="n">
        <f aca="false">DEGREES( ACOS( COS(AA$263)  *  SIN( RADIANS($B270 + 90))))</f>
        <v>90</v>
      </c>
      <c r="AB270" s="227" t="n">
        <f aca="false">DEGREES( ACOS( COS(AB$263)  *  SIN( RADIANS($B270 + 90))))</f>
        <v>90</v>
      </c>
      <c r="AC270" s="195" t="n">
        <f aca="false">DEGREES( ACOS( COS(AC$263)  *  SIN( RADIANS($B270 + 90))))</f>
        <v>90</v>
      </c>
      <c r="AD270" s="195" t="n">
        <f aca="false">DEGREES( ACOS( COS(AD$263)  *  SIN( RADIANS($B270 + 90))))</f>
        <v>90</v>
      </c>
      <c r="AE270" s="1"/>
      <c r="AF270" s="1"/>
      <c r="AG270" s="1"/>
      <c r="AH270" s="1"/>
      <c r="AI270" s="1"/>
      <c r="AJ270" s="1"/>
      <c r="AK270" s="1"/>
      <c r="AL270" s="1"/>
    </row>
    <row r="271" customFormat="false" ht="12.75" hidden="false" customHeight="true" outlineLevel="0" collapsed="false">
      <c r="A271" s="192" t="n">
        <f aca="false">RADIANS(MOD(B271-180,-360)+180)</f>
        <v>1.83259571459405</v>
      </c>
      <c r="B271" s="182" t="n">
        <v>105</v>
      </c>
      <c r="C271" s="1"/>
      <c r="D271" s="227" t="n">
        <f aca="false">DEGREES( ACOS( COS(D$263)  *  SIN( RADIANS($B271 + 90))))</f>
        <v>104.999999997662</v>
      </c>
      <c r="E271" s="210" t="n">
        <f aca="false">DEGREES( ACOS( COS(E$263)  *  SIN( RADIANS($B271 + 90))))</f>
        <v>104.47751218593</v>
      </c>
      <c r="F271" s="210" t="n">
        <f aca="false">DEGREES( ACOS( COS(F$263)  *  SIN( RADIANS($B271 + 90))))</f>
        <v>102.952539642222</v>
      </c>
      <c r="G271" s="210" t="n">
        <f aca="false">DEGREES( ACOS( COS(G$263)  *  SIN( RADIANS($B271 + 90))))</f>
        <v>100.5452905895</v>
      </c>
      <c r="H271" s="210" t="n">
        <f aca="false">DEGREES( ACOS( COS(H$263)  *  SIN( RADIANS($B271 + 90))))</f>
        <v>97.4354722261318</v>
      </c>
      <c r="I271" s="210" t="n">
        <f aca="false">DEGREES( ACOS( COS(I$263)  *  SIN( RADIANS($B271 + 90))))</f>
        <v>93.8409657162582</v>
      </c>
      <c r="J271" s="227" t="n">
        <f aca="false">DEGREES( ACOS( COS(J$263)  *  SIN( RADIANS($B271 + 90))))</f>
        <v>90</v>
      </c>
      <c r="K271" s="210" t="n">
        <f aca="false">DEGREES( ACOS( COS(K$263)  *  SIN( RADIANS($B271 + 90))))</f>
        <v>86.1590342837419</v>
      </c>
      <c r="L271" s="210" t="n">
        <f aca="false">DEGREES( ACOS( COS(L$263)  *  SIN( RADIANS($B271 + 90))))</f>
        <v>82.5645277738682</v>
      </c>
      <c r="M271" s="210" t="n">
        <f aca="false">DEGREES( ACOS( COS(M$263)  *  SIN( RADIANS($B271 + 90))))</f>
        <v>79.4547094105005</v>
      </c>
      <c r="N271" s="210" t="n">
        <f aca="false">DEGREES( ACOS( COS(N$263)  *  SIN( RADIANS($B271 + 90))))</f>
        <v>77.0474603577777</v>
      </c>
      <c r="O271" s="210" t="n">
        <f aca="false">DEGREES( ACOS( COS(O$263)  *  SIN( RADIANS($B271 + 90))))</f>
        <v>75.5224878140701</v>
      </c>
      <c r="P271" s="227" t="n">
        <f aca="false">DEGREES( ACOS( COS(P$263)  *  SIN( RADIANS($B271 + 90))))</f>
        <v>75</v>
      </c>
      <c r="Q271" s="210" t="n">
        <f aca="false">DEGREES( ACOS( COS(Q$263)  *  SIN( RADIANS($B271 + 90))))</f>
        <v>75.5224878140701</v>
      </c>
      <c r="R271" s="210" t="n">
        <f aca="false">DEGREES( ACOS( COS(R$263)  *  SIN( RADIANS($B271 + 90))))</f>
        <v>77.0474603577777</v>
      </c>
      <c r="S271" s="210" t="n">
        <f aca="false">DEGREES( ACOS( COS(S$263)  *  SIN( RADIANS($B271 + 90))))</f>
        <v>79.4547094105005</v>
      </c>
      <c r="T271" s="210" t="n">
        <f aca="false">DEGREES( ACOS( COS(T$263)  *  SIN( RADIANS($B271 + 90))))</f>
        <v>82.5645277738682</v>
      </c>
      <c r="U271" s="210" t="n">
        <f aca="false">DEGREES( ACOS( COS(U$263)  *  SIN( RADIANS($B271 + 90))))</f>
        <v>86.1590342837419</v>
      </c>
      <c r="V271" s="227" t="n">
        <f aca="false">DEGREES( ACOS( COS(V$263)  *  SIN( RADIANS($B271 + 90))))</f>
        <v>90</v>
      </c>
      <c r="W271" s="210" t="n">
        <f aca="false">DEGREES( ACOS( COS(W$263)  *  SIN( RADIANS($B271 + 90))))</f>
        <v>93.8409657162582</v>
      </c>
      <c r="X271" s="210" t="n">
        <f aca="false">DEGREES( ACOS( COS(X$263)  *  SIN( RADIANS($B271 + 90))))</f>
        <v>97.4354722261318</v>
      </c>
      <c r="Y271" s="210" t="n">
        <f aca="false">DEGREES( ACOS( COS(Y$263)  *  SIN( RADIANS($B271 + 90))))</f>
        <v>100.5452905895</v>
      </c>
      <c r="Z271" s="210" t="n">
        <f aca="false">DEGREES( ACOS( COS(Z$263)  *  SIN( RADIANS($B271 + 90))))</f>
        <v>102.952539642222</v>
      </c>
      <c r="AA271" s="210" t="n">
        <f aca="false">DEGREES( ACOS( COS(AA$263)  *  SIN( RADIANS($B271 + 90))))</f>
        <v>104.47751218593</v>
      </c>
      <c r="AB271" s="227" t="n">
        <f aca="false">DEGREES( ACOS( COS(AB$263)  *  SIN( RADIANS($B271 + 90))))</f>
        <v>104.99999976617</v>
      </c>
      <c r="AC271" s="195" t="n">
        <f aca="false">DEGREES( ACOS( COS(AC$263)  *  SIN( RADIANS($B271 + 90))))</f>
        <v>105</v>
      </c>
      <c r="AD271" s="195" t="n">
        <f aca="false">DEGREES( ACOS( COS(AD$263)  *  SIN( RADIANS($B271 + 90))))</f>
        <v>105</v>
      </c>
      <c r="AE271" s="1"/>
      <c r="AF271" s="1"/>
      <c r="AG271" s="1"/>
      <c r="AH271" s="1"/>
      <c r="AI271" s="1"/>
      <c r="AJ271" s="1"/>
      <c r="AK271" s="1"/>
      <c r="AL271" s="1"/>
    </row>
    <row r="272" customFormat="false" ht="12.75" hidden="false" customHeight="true" outlineLevel="0" collapsed="false">
      <c r="A272" s="192" t="n">
        <f aca="false">RADIANS(MOD(B272-180,-360)+180)</f>
        <v>2.0943951023932</v>
      </c>
      <c r="B272" s="182" t="n">
        <v>120</v>
      </c>
      <c r="C272" s="1"/>
      <c r="D272" s="227" t="n">
        <f aca="false">DEGREES( ACOS( COS(D$263)  *  SIN( RADIANS($B272 + 90))))</f>
        <v>119.999999994962</v>
      </c>
      <c r="E272" s="210" t="n">
        <f aca="false">DEGREES( ACOS( COS(E$263)  *  SIN( RADIANS($B272 + 90))))</f>
        <v>118.879094017428</v>
      </c>
      <c r="F272" s="210" t="n">
        <f aca="false">DEGREES( ACOS( COS(F$263)  *  SIN( RADIANS($B272 + 90))))</f>
        <v>115.658906273255</v>
      </c>
      <c r="G272" s="210" t="n">
        <f aca="false">DEGREES( ACOS( COS(G$263)  *  SIN( RADIANS($B272 + 90))))</f>
        <v>110.704811054635</v>
      </c>
      <c r="H272" s="210" t="n">
        <f aca="false">DEGREES( ACOS( COS(H$263)  *  SIN( RADIANS($B272 + 90))))</f>
        <v>104.47751218593</v>
      </c>
      <c r="I272" s="210" t="n">
        <f aca="false">DEGREES( ACOS( COS(I$263)  *  SIN( RADIANS($B272 + 90))))</f>
        <v>97.4354722261319</v>
      </c>
      <c r="J272" s="227" t="n">
        <f aca="false">DEGREES( ACOS( COS(J$263)  *  SIN( RADIANS($B272 + 90))))</f>
        <v>90</v>
      </c>
      <c r="K272" s="210" t="n">
        <f aca="false">DEGREES( ACOS( COS(K$263)  *  SIN( RADIANS($B272 + 90))))</f>
        <v>82.5645277738682</v>
      </c>
      <c r="L272" s="210" t="n">
        <f aca="false">DEGREES( ACOS( COS(L$263)  *  SIN( RADIANS($B272 + 90))))</f>
        <v>75.5224878140701</v>
      </c>
      <c r="M272" s="210" t="n">
        <f aca="false">DEGREES( ACOS( COS(M$263)  *  SIN( RADIANS($B272 + 90))))</f>
        <v>69.2951889453646</v>
      </c>
      <c r="N272" s="210" t="n">
        <f aca="false">DEGREES( ACOS( COS(N$263)  *  SIN( RADIANS($B272 + 90))))</f>
        <v>64.3410937267447</v>
      </c>
      <c r="O272" s="210" t="n">
        <f aca="false">DEGREES( ACOS( COS(O$263)  *  SIN( RADIANS($B272 + 90))))</f>
        <v>61.1209059825724</v>
      </c>
      <c r="P272" s="227" t="n">
        <f aca="false">DEGREES( ACOS( COS(P$263)  *  SIN( RADIANS($B272 + 90))))</f>
        <v>60</v>
      </c>
      <c r="Q272" s="210" t="n">
        <f aca="false">DEGREES( ACOS( COS(Q$263)  *  SIN( RADIANS($B272 + 90))))</f>
        <v>61.1209059825724</v>
      </c>
      <c r="R272" s="210" t="n">
        <f aca="false">DEGREES( ACOS( COS(R$263)  *  SIN( RADIANS($B272 + 90))))</f>
        <v>64.3410937267447</v>
      </c>
      <c r="S272" s="210" t="n">
        <f aca="false">DEGREES( ACOS( COS(S$263)  *  SIN( RADIANS($B272 + 90))))</f>
        <v>69.2951889453646</v>
      </c>
      <c r="T272" s="210" t="n">
        <f aca="false">DEGREES( ACOS( COS(T$263)  *  SIN( RADIANS($B272 + 90))))</f>
        <v>75.5224878140701</v>
      </c>
      <c r="U272" s="210" t="n">
        <f aca="false">DEGREES( ACOS( COS(U$263)  *  SIN( RADIANS($B272 + 90))))</f>
        <v>82.5645277738682</v>
      </c>
      <c r="V272" s="227" t="n">
        <f aca="false">DEGREES( ACOS( COS(V$263)  *  SIN( RADIANS($B272 + 90))))</f>
        <v>90</v>
      </c>
      <c r="W272" s="210" t="n">
        <f aca="false">DEGREES( ACOS( COS(W$263)  *  SIN( RADIANS($B272 + 90))))</f>
        <v>97.4354722261319</v>
      </c>
      <c r="X272" s="210" t="n">
        <f aca="false">DEGREES( ACOS( COS(X$263)  *  SIN( RADIANS($B272 + 90))))</f>
        <v>104.47751218593</v>
      </c>
      <c r="Y272" s="210" t="n">
        <f aca="false">DEGREES( ACOS( COS(Y$263)  *  SIN( RADIANS($B272 + 90))))</f>
        <v>110.704811054635</v>
      </c>
      <c r="Z272" s="210" t="n">
        <f aca="false">DEGREES( ACOS( COS(Z$263)  *  SIN( RADIANS($B272 + 90))))</f>
        <v>115.658906273255</v>
      </c>
      <c r="AA272" s="210" t="n">
        <f aca="false">DEGREES( ACOS( COS(AA$263)  *  SIN( RADIANS($B272 + 90))))</f>
        <v>118.879094017428</v>
      </c>
      <c r="AB272" s="227" t="n">
        <f aca="false">DEGREES( ACOS( COS(AB$263)  *  SIN( RADIANS($B272 + 90))))</f>
        <v>119.999999496167</v>
      </c>
      <c r="AC272" s="195" t="n">
        <f aca="false">DEGREES( ACOS( COS(AC$263)  *  SIN( RADIANS($B272 + 90))))</f>
        <v>120</v>
      </c>
      <c r="AD272" s="195" t="n">
        <f aca="false">DEGREES( ACOS( COS(AD$263)  *  SIN( RADIANS($B272 + 90))))</f>
        <v>120</v>
      </c>
      <c r="AE272" s="1"/>
      <c r="AF272" s="1"/>
      <c r="AG272" s="1"/>
      <c r="AH272" s="1"/>
      <c r="AI272" s="1"/>
      <c r="AJ272" s="1"/>
      <c r="AK272" s="1"/>
      <c r="AL272" s="1"/>
    </row>
    <row r="273" customFormat="false" ht="12.75" hidden="false" customHeight="true" outlineLevel="0" collapsed="false">
      <c r="A273" s="192" t="n">
        <f aca="false">RADIANS(MOD(B273-180,-360)+180)</f>
        <v>2.35619449019234</v>
      </c>
      <c r="B273" s="182" t="n">
        <v>135</v>
      </c>
      <c r="C273" s="1"/>
      <c r="D273" s="227" t="n">
        <f aca="false">DEGREES( ACOS( COS(D$263)  *  SIN( RADIANS($B273 + 90))))</f>
        <v>134.999999991273</v>
      </c>
      <c r="E273" s="210" t="n">
        <f aca="false">DEGREES( ACOS( COS(E$263)  *  SIN( RADIANS($B273 + 90))))</f>
        <v>133.079517141871</v>
      </c>
      <c r="F273" s="210" t="n">
        <f aca="false">DEGREES( ACOS( COS(F$263)  *  SIN( RADIANS($B273 + 90))))</f>
        <v>127.761243907035</v>
      </c>
      <c r="G273" s="210" t="n">
        <f aca="false">DEGREES( ACOS( COS(G$263)  *  SIN( RADIANS($B273 + 90))))</f>
        <v>120</v>
      </c>
      <c r="H273" s="210" t="n">
        <f aca="false">DEGREES( ACOS( COS(H$263)  *  SIN( RADIANS($B273 + 90))))</f>
        <v>110.704811054635</v>
      </c>
      <c r="I273" s="210" t="n">
        <f aca="false">DEGREES( ACOS( COS(I$263)  *  SIN( RADIANS($B273 + 90))))</f>
        <v>100.5452905895</v>
      </c>
      <c r="J273" s="227" t="n">
        <f aca="false">DEGREES( ACOS( COS(J$263)  *  SIN( RADIANS($B273 + 90))))</f>
        <v>90</v>
      </c>
      <c r="K273" s="210" t="n">
        <f aca="false">DEGREES( ACOS( COS(K$263)  *  SIN( RADIANS($B273 + 90))))</f>
        <v>79.4547094105004</v>
      </c>
      <c r="L273" s="210" t="n">
        <f aca="false">DEGREES( ACOS( COS(L$263)  *  SIN( RADIANS($B273 + 90))))</f>
        <v>69.2951889453646</v>
      </c>
      <c r="M273" s="210" t="n">
        <f aca="false">DEGREES( ACOS( COS(M$263)  *  SIN( RADIANS($B273 + 90))))</f>
        <v>60</v>
      </c>
      <c r="N273" s="210" t="n">
        <f aca="false">DEGREES( ACOS( COS(N$263)  *  SIN( RADIANS($B273 + 90))))</f>
        <v>52.238756092965</v>
      </c>
      <c r="O273" s="210" t="n">
        <f aca="false">DEGREES( ACOS( COS(O$263)  *  SIN( RADIANS($B273 + 90))))</f>
        <v>46.9204828581291</v>
      </c>
      <c r="P273" s="227" t="n">
        <f aca="false">DEGREES( ACOS( COS(P$263)  *  SIN( RADIANS($B273 + 90))))</f>
        <v>45</v>
      </c>
      <c r="Q273" s="210" t="n">
        <f aca="false">DEGREES( ACOS( COS(Q$263)  *  SIN( RADIANS($B273 + 90))))</f>
        <v>46.9204828581291</v>
      </c>
      <c r="R273" s="210" t="n">
        <f aca="false">DEGREES( ACOS( COS(R$263)  *  SIN( RADIANS($B273 + 90))))</f>
        <v>52.238756092965</v>
      </c>
      <c r="S273" s="210" t="n">
        <f aca="false">DEGREES( ACOS( COS(S$263)  *  SIN( RADIANS($B273 + 90))))</f>
        <v>60</v>
      </c>
      <c r="T273" s="210" t="n">
        <f aca="false">DEGREES( ACOS( COS(T$263)  *  SIN( RADIANS($B273 + 90))))</f>
        <v>69.2951889453646</v>
      </c>
      <c r="U273" s="210" t="n">
        <f aca="false">DEGREES( ACOS( COS(U$263)  *  SIN( RADIANS($B273 + 90))))</f>
        <v>79.4547094105004</v>
      </c>
      <c r="V273" s="227" t="n">
        <f aca="false">DEGREES( ACOS( COS(V$263)  *  SIN( RADIANS($B273 + 90))))</f>
        <v>90</v>
      </c>
      <c r="W273" s="210" t="n">
        <f aca="false">DEGREES( ACOS( COS(W$263)  *  SIN( RADIANS($B273 + 90))))</f>
        <v>100.5452905895</v>
      </c>
      <c r="X273" s="210" t="n">
        <f aca="false">DEGREES( ACOS( COS(X$263)  *  SIN( RADIANS($B273 + 90))))</f>
        <v>110.704811054635</v>
      </c>
      <c r="Y273" s="210" t="n">
        <f aca="false">DEGREES( ACOS( COS(Y$263)  *  SIN( RADIANS($B273 + 90))))</f>
        <v>120</v>
      </c>
      <c r="Z273" s="210" t="n">
        <f aca="false">DEGREES( ACOS( COS(Z$263)  *  SIN( RADIANS($B273 + 90))))</f>
        <v>127.761243907035</v>
      </c>
      <c r="AA273" s="210" t="n">
        <f aca="false">DEGREES( ACOS( COS(AA$263)  *  SIN( RADIANS($B273 + 90))))</f>
        <v>133.079517141871</v>
      </c>
      <c r="AB273" s="227" t="n">
        <f aca="false">DEGREES( ACOS( COS(AB$263)  *  SIN( RADIANS($B273 + 90))))</f>
        <v>134.999999127335</v>
      </c>
      <c r="AC273" s="195" t="n">
        <f aca="false">DEGREES( ACOS( COS(AC$263)  *  SIN( RADIANS($B273 + 90))))</f>
        <v>135</v>
      </c>
      <c r="AD273" s="195" t="n">
        <f aca="false">DEGREES( ACOS( COS(AD$263)  *  SIN( RADIANS($B273 + 90))))</f>
        <v>135</v>
      </c>
      <c r="AE273" s="1"/>
      <c r="AF273" s="1"/>
      <c r="AG273" s="1"/>
      <c r="AH273" s="1"/>
      <c r="AI273" s="1"/>
      <c r="AJ273" s="1"/>
      <c r="AK273" s="1"/>
      <c r="AL273" s="1"/>
    </row>
    <row r="274" customFormat="false" ht="12.75" hidden="false" customHeight="true" outlineLevel="0" collapsed="false">
      <c r="A274" s="192" t="n">
        <f aca="false">RADIANS(MOD(B274-180,-360)+180)</f>
        <v>2.61799387799149</v>
      </c>
      <c r="B274" s="182" t="n">
        <v>150</v>
      </c>
      <c r="C274" s="1"/>
      <c r="D274" s="227" t="n">
        <f aca="false">DEGREES( ACOS( COS(D$263)  *  SIN( RADIANS($B274 + 90))))</f>
        <v>149.999999984885</v>
      </c>
      <c r="E274" s="210" t="n">
        <f aca="false">DEGREES( ACOS( COS(E$263)  *  SIN( RADIANS($B274 + 90))))</f>
        <v>146.774057796712</v>
      </c>
      <c r="F274" s="210" t="n">
        <f aca="false">DEGREES( ACOS( COS(F$263)  *  SIN( RADIANS($B274 + 90))))</f>
        <v>138.590377890729</v>
      </c>
      <c r="G274" s="210" t="n">
        <f aca="false">DEGREES( ACOS( COS(G$263)  *  SIN( RADIANS($B274 + 90))))</f>
        <v>127.761243907035</v>
      </c>
      <c r="H274" s="210" t="n">
        <f aca="false">DEGREES( ACOS( COS(H$263)  *  SIN( RADIANS($B274 + 90))))</f>
        <v>115.658906273255</v>
      </c>
      <c r="I274" s="210" t="n">
        <f aca="false">DEGREES( ACOS( COS(I$263)  *  SIN( RADIANS($B274 + 90))))</f>
        <v>102.952539642222</v>
      </c>
      <c r="J274" s="227" t="n">
        <f aca="false">DEGREES( ACOS( COS(J$263)  *  SIN( RADIANS($B274 + 90))))</f>
        <v>90</v>
      </c>
      <c r="K274" s="210" t="n">
        <f aca="false">DEGREES( ACOS( COS(K$263)  *  SIN( RADIANS($B274 + 90))))</f>
        <v>77.0474603577776</v>
      </c>
      <c r="L274" s="210" t="n">
        <f aca="false">DEGREES( ACOS( COS(L$263)  *  SIN( RADIANS($B274 + 90))))</f>
        <v>64.3410937267448</v>
      </c>
      <c r="M274" s="210" t="n">
        <f aca="false">DEGREES( ACOS( COS(M$263)  *  SIN( RADIANS($B274 + 90))))</f>
        <v>52.238756092965</v>
      </c>
      <c r="N274" s="210" t="n">
        <f aca="false">DEGREES( ACOS( COS(N$263)  *  SIN( RADIANS($B274 + 90))))</f>
        <v>41.4096221092709</v>
      </c>
      <c r="O274" s="210" t="n">
        <f aca="false">DEGREES( ACOS( COS(O$263)  *  SIN( RADIANS($B274 + 90))))</f>
        <v>33.2259422032876</v>
      </c>
      <c r="P274" s="227" t="n">
        <f aca="false">DEGREES( ACOS( COS(P$263)  *  SIN( RADIANS($B274 + 90))))</f>
        <v>30</v>
      </c>
      <c r="Q274" s="210" t="n">
        <f aca="false">DEGREES( ACOS( COS(Q$263)  *  SIN( RADIANS($B274 + 90))))</f>
        <v>33.2259422032876</v>
      </c>
      <c r="R274" s="210" t="n">
        <f aca="false">DEGREES( ACOS( COS(R$263)  *  SIN( RADIANS($B274 + 90))))</f>
        <v>41.4096221092709</v>
      </c>
      <c r="S274" s="210" t="n">
        <f aca="false">DEGREES( ACOS( COS(S$263)  *  SIN( RADIANS($B274 + 90))))</f>
        <v>52.238756092965</v>
      </c>
      <c r="T274" s="210" t="n">
        <f aca="false">DEGREES( ACOS( COS(T$263)  *  SIN( RADIANS($B274 + 90))))</f>
        <v>64.3410937267448</v>
      </c>
      <c r="U274" s="210" t="n">
        <f aca="false">DEGREES( ACOS( COS(U$263)  *  SIN( RADIANS($B274 + 90))))</f>
        <v>77.0474603577776</v>
      </c>
      <c r="V274" s="227" t="n">
        <f aca="false">DEGREES( ACOS( COS(V$263)  *  SIN( RADIANS($B274 + 90))))</f>
        <v>90</v>
      </c>
      <c r="W274" s="210" t="n">
        <f aca="false">DEGREES( ACOS( COS(W$263)  *  SIN( RADIANS($B274 + 90))))</f>
        <v>102.952539642222</v>
      </c>
      <c r="X274" s="210" t="n">
        <f aca="false">DEGREES( ACOS( COS(X$263)  *  SIN( RADIANS($B274 + 90))))</f>
        <v>115.658906273255</v>
      </c>
      <c r="Y274" s="210" t="n">
        <f aca="false">DEGREES( ACOS( COS(Y$263)  *  SIN( RADIANS($B274 + 90))))</f>
        <v>127.761243907035</v>
      </c>
      <c r="Z274" s="210" t="n">
        <f aca="false">DEGREES( ACOS( COS(Z$263)  *  SIN( RADIANS($B274 + 90))))</f>
        <v>138.590377890729</v>
      </c>
      <c r="AA274" s="210" t="n">
        <f aca="false">DEGREES( ACOS( COS(AA$263)  *  SIN( RADIANS($B274 + 90))))</f>
        <v>146.774057796712</v>
      </c>
      <c r="AB274" s="227" t="n">
        <f aca="false">DEGREES( ACOS( COS(AB$263)  *  SIN( RADIANS($B274 + 90))))</f>
        <v>149.999998488501</v>
      </c>
      <c r="AC274" s="195" t="n">
        <f aca="false">DEGREES( ACOS( COS(AC$263)  *  SIN( RADIANS($B274 + 90))))</f>
        <v>150</v>
      </c>
      <c r="AD274" s="195" t="n">
        <f aca="false">DEGREES( ACOS( COS(AD$263)  *  SIN( RADIANS($B274 + 90))))</f>
        <v>150</v>
      </c>
      <c r="AE274" s="1"/>
      <c r="AF274" s="1"/>
      <c r="AG274" s="1"/>
      <c r="AH274" s="1"/>
      <c r="AI274" s="1"/>
      <c r="AJ274" s="1"/>
      <c r="AK274" s="1"/>
      <c r="AL274" s="1"/>
    </row>
    <row r="275" customFormat="false" ht="12.75" hidden="false" customHeight="true" outlineLevel="0" collapsed="false">
      <c r="A275" s="192" t="n">
        <f aca="false">RADIANS(MOD(B275-180,-360)+180)</f>
        <v>2.87979326579064</v>
      </c>
      <c r="B275" s="182" t="n">
        <v>165</v>
      </c>
      <c r="C275" s="1"/>
      <c r="D275" s="227" t="n">
        <f aca="false">DEGREES( ACOS( COS(D$263)  *  SIN( RADIANS($B275 + 90))))</f>
        <v>164.999999967432</v>
      </c>
      <c r="E275" s="210" t="n">
        <f aca="false">DEGREES( ACOS( COS(E$263)  *  SIN( RADIANS($B275 + 90))))</f>
        <v>158.909418821001</v>
      </c>
      <c r="F275" s="210" t="n">
        <f aca="false">DEGREES( ACOS( COS(F$263)  *  SIN( RADIANS($B275 + 90))))</f>
        <v>146.774057796712</v>
      </c>
      <c r="G275" s="210" t="n">
        <f aca="false">DEGREES( ACOS( COS(G$263)  *  SIN( RADIANS($B275 + 90))))</f>
        <v>133.079517141871</v>
      </c>
      <c r="H275" s="210" t="n">
        <f aca="false">DEGREES( ACOS( COS(H$263)  *  SIN( RADIANS($B275 + 90))))</f>
        <v>118.879094017428</v>
      </c>
      <c r="I275" s="210" t="n">
        <f aca="false">DEGREES( ACOS( COS(I$263)  *  SIN( RADIANS($B275 + 90))))</f>
        <v>104.47751218593</v>
      </c>
      <c r="J275" s="227" t="n">
        <f aca="false">DEGREES( ACOS( COS(J$263)  *  SIN( RADIANS($B275 + 90))))</f>
        <v>90</v>
      </c>
      <c r="K275" s="210" t="n">
        <f aca="false">DEGREES( ACOS( COS(K$263)  *  SIN( RADIANS($B275 + 90))))</f>
        <v>75.5224878140701</v>
      </c>
      <c r="L275" s="210" t="n">
        <f aca="false">DEGREES( ACOS( COS(L$263)  *  SIN( RADIANS($B275 + 90))))</f>
        <v>61.1209059825724</v>
      </c>
      <c r="M275" s="210" t="n">
        <f aca="false">DEGREES( ACOS( COS(M$263)  *  SIN( RADIANS($B275 + 90))))</f>
        <v>46.9204828581291</v>
      </c>
      <c r="N275" s="210" t="n">
        <f aca="false">DEGREES( ACOS( COS(N$263)  *  SIN( RADIANS($B275 + 90))))</f>
        <v>33.2259422032876</v>
      </c>
      <c r="O275" s="210" t="n">
        <f aca="false">DEGREES( ACOS( COS(O$263)  *  SIN( RADIANS($B275 + 90))))</f>
        <v>21.0905811789991</v>
      </c>
      <c r="P275" s="227" t="n">
        <f aca="false">DEGREES( ACOS( COS(P$263)  *  SIN( RADIANS($B275 + 90))))</f>
        <v>15</v>
      </c>
      <c r="Q275" s="210" t="n">
        <f aca="false">DEGREES( ACOS( COS(Q$263)  *  SIN( RADIANS($B275 + 90))))</f>
        <v>21.0905811789991</v>
      </c>
      <c r="R275" s="210" t="n">
        <f aca="false">DEGREES( ACOS( COS(R$263)  *  SIN( RADIANS($B275 + 90))))</f>
        <v>33.2259422032876</v>
      </c>
      <c r="S275" s="210" t="n">
        <f aca="false">DEGREES( ACOS( COS(S$263)  *  SIN( RADIANS($B275 + 90))))</f>
        <v>46.9204828581291</v>
      </c>
      <c r="T275" s="210" t="n">
        <f aca="false">DEGREES( ACOS( COS(T$263)  *  SIN( RADIANS($B275 + 90))))</f>
        <v>61.1209059825724</v>
      </c>
      <c r="U275" s="210" t="n">
        <f aca="false">DEGREES( ACOS( COS(U$263)  *  SIN( RADIANS($B275 + 90))))</f>
        <v>75.5224878140701</v>
      </c>
      <c r="V275" s="227" t="n">
        <f aca="false">DEGREES( ACOS( COS(V$263)  *  SIN( RADIANS($B275 + 90))))</f>
        <v>90</v>
      </c>
      <c r="W275" s="210" t="n">
        <f aca="false">DEGREES( ACOS( COS(W$263)  *  SIN( RADIANS($B275 + 90))))</f>
        <v>104.47751218593</v>
      </c>
      <c r="X275" s="210" t="n">
        <f aca="false">DEGREES( ACOS( COS(X$263)  *  SIN( RADIANS($B275 + 90))))</f>
        <v>118.879094017428</v>
      </c>
      <c r="Y275" s="210" t="n">
        <f aca="false">DEGREES( ACOS( COS(Y$263)  *  SIN( RADIANS($B275 + 90))))</f>
        <v>133.079517141871</v>
      </c>
      <c r="Z275" s="210" t="n">
        <f aca="false">DEGREES( ACOS( COS(Z$263)  *  SIN( RADIANS($B275 + 90))))</f>
        <v>146.774057796712</v>
      </c>
      <c r="AA275" s="210" t="n">
        <f aca="false">DEGREES( ACOS( COS(AA$263)  *  SIN( RADIANS($B275 + 90))))</f>
        <v>158.909418821001</v>
      </c>
      <c r="AB275" s="227" t="n">
        <f aca="false">DEGREES( ACOS( COS(AB$263)  *  SIN( RADIANS($B275 + 90))))</f>
        <v>164.999996743172</v>
      </c>
      <c r="AC275" s="195" t="n">
        <f aca="false">DEGREES( ACOS( COS(AC$263)  *  SIN( RADIANS($B275 + 90))))</f>
        <v>165</v>
      </c>
      <c r="AD275" s="195" t="n">
        <f aca="false">DEGREES( ACOS( COS(AD$263)  *  SIN( RADIANS($B275 + 90))))</f>
        <v>165</v>
      </c>
      <c r="AE275" s="1"/>
      <c r="AF275" s="1"/>
      <c r="AG275" s="1"/>
      <c r="AH275" s="1"/>
      <c r="AI275" s="1"/>
      <c r="AJ275" s="1"/>
      <c r="AK275" s="1"/>
      <c r="AL275" s="1"/>
    </row>
    <row r="276" customFormat="false" ht="12.75" hidden="false" customHeight="true" outlineLevel="0" collapsed="false">
      <c r="A276" s="192" t="n">
        <f aca="false">RADIANS(MOD(B276-180,-360)+180)</f>
        <v>3.14159265358979</v>
      </c>
      <c r="B276" s="182" t="n">
        <v>180</v>
      </c>
      <c r="C276" s="1"/>
      <c r="D276" s="227" t="n">
        <f aca="false">DEGREES( ACOS( COS(D$263)  *  SIN( RADIANS($B276 + 90))))</f>
        <v>179.998999999963</v>
      </c>
      <c r="E276" s="227" t="n">
        <f aca="false">DEGREES( ACOS( COS(E$263)  *  SIN( RADIANS($B276 + 90))))</f>
        <v>165</v>
      </c>
      <c r="F276" s="227" t="n">
        <f aca="false">DEGREES( ACOS( COS(F$263)  *  SIN( RADIANS($B276 + 90))))</f>
        <v>150</v>
      </c>
      <c r="G276" s="227" t="n">
        <f aca="false">DEGREES( ACOS( COS(G$263)  *  SIN( RADIANS($B276 + 90))))</f>
        <v>135</v>
      </c>
      <c r="H276" s="227" t="n">
        <f aca="false">DEGREES( ACOS( COS(H$263)  *  SIN( RADIANS($B276 + 90))))</f>
        <v>120</v>
      </c>
      <c r="I276" s="227" t="n">
        <f aca="false">DEGREES( ACOS( COS(I$263)  *  SIN( RADIANS($B276 + 90))))</f>
        <v>105</v>
      </c>
      <c r="J276" s="227" t="n">
        <f aca="false">DEGREES( ACOS( COS(J$263)  *  SIN( RADIANS($B276 + 90))))</f>
        <v>90</v>
      </c>
      <c r="K276" s="227" t="n">
        <f aca="false">DEGREES( ACOS( COS(K$263)  *  SIN( RADIANS($B276 + 90))))</f>
        <v>75</v>
      </c>
      <c r="L276" s="227" t="n">
        <f aca="false">DEGREES( ACOS( COS(L$263)  *  SIN( RADIANS($B276 + 90))))</f>
        <v>60</v>
      </c>
      <c r="M276" s="227" t="n">
        <f aca="false">DEGREES( ACOS( COS(M$263)  *  SIN( RADIANS($B276 + 90))))</f>
        <v>45</v>
      </c>
      <c r="N276" s="227" t="n">
        <f aca="false">DEGREES( ACOS( COS(N$263)  *  SIN( RADIANS($B276 + 90))))</f>
        <v>30</v>
      </c>
      <c r="O276" s="227" t="n">
        <f aca="false">DEGREES( ACOS( COS(O$263)  *  SIN( RADIANS($B276 + 90))))</f>
        <v>15</v>
      </c>
      <c r="P276" s="227" t="n">
        <f aca="false">DEGREES( ACOS( COS(P$263)  *  SIN( RADIANS($B276 + 90))))</f>
        <v>0</v>
      </c>
      <c r="Q276" s="227" t="n">
        <f aca="false">DEGREES( ACOS( COS(Q$263)  *  SIN( RADIANS($B276 + 90))))</f>
        <v>15</v>
      </c>
      <c r="R276" s="227" t="n">
        <f aca="false">DEGREES( ACOS( COS(R$263)  *  SIN( RADIANS($B276 + 90))))</f>
        <v>30</v>
      </c>
      <c r="S276" s="227" t="n">
        <f aca="false">DEGREES( ACOS( COS(S$263)  *  SIN( RADIANS($B276 + 90))))</f>
        <v>45</v>
      </c>
      <c r="T276" s="227" t="n">
        <f aca="false">DEGREES( ACOS( COS(T$263)  *  SIN( RADIANS($B276 + 90))))</f>
        <v>60</v>
      </c>
      <c r="U276" s="227" t="n">
        <f aca="false">DEGREES( ACOS( COS(U$263)  *  SIN( RADIANS($B276 + 90))))</f>
        <v>75</v>
      </c>
      <c r="V276" s="227" t="n">
        <f aca="false">DEGREES( ACOS( COS(V$263)  *  SIN( RADIANS($B276 + 90))))</f>
        <v>90</v>
      </c>
      <c r="W276" s="227" t="n">
        <f aca="false">DEGREES( ACOS( COS(W$263)  *  SIN( RADIANS($B276 + 90))))</f>
        <v>105</v>
      </c>
      <c r="X276" s="227" t="n">
        <f aca="false">DEGREES( ACOS( COS(X$263)  *  SIN( RADIANS($B276 + 90))))</f>
        <v>120</v>
      </c>
      <c r="Y276" s="227" t="n">
        <f aca="false">DEGREES( ACOS( COS(Y$263)  *  SIN( RADIANS($B276 + 90))))</f>
        <v>135</v>
      </c>
      <c r="Z276" s="227" t="n">
        <f aca="false">DEGREES( ACOS( COS(Z$263)  *  SIN( RADIANS($B276 + 90))))</f>
        <v>150</v>
      </c>
      <c r="AA276" s="227" t="n">
        <f aca="false">DEGREES( ACOS( COS(AA$263)  *  SIN( RADIANS($B276 + 90))))</f>
        <v>165</v>
      </c>
      <c r="AB276" s="227" t="n">
        <f aca="false">DEGREES( ACOS( COS(AB$263)  *  SIN( RADIANS($B276 + 90))))</f>
        <v>179.990000000017</v>
      </c>
      <c r="AC276" s="195" t="n">
        <f aca="false">DEGREES( ACOS( COS(AC$263)  *  SIN( RADIANS($B276 + 90))))</f>
        <v>180</v>
      </c>
      <c r="AD276" s="195" t="n">
        <f aca="false">DEGREES( ACOS( COS(AD$263)  *  SIN( RADIANS($B276 + 90))))</f>
        <v>180</v>
      </c>
      <c r="AE276" s="1"/>
      <c r="AF276" s="1"/>
      <c r="AG276" s="1"/>
      <c r="AH276" s="1"/>
      <c r="AI276" s="1"/>
      <c r="AJ276" s="1"/>
      <c r="AK276" s="1"/>
      <c r="AL276" s="1"/>
    </row>
    <row r="277" customFormat="false" ht="12.75" hidden="false" customHeight="true" outlineLevel="0" collapsed="false">
      <c r="A277" s="193" t="n">
        <f aca="false">RADIANS(MOD(B277-180,-360)+180)</f>
        <v>-2.87979326579064</v>
      </c>
      <c r="B277" s="182" t="n">
        <v>195</v>
      </c>
      <c r="C277" s="1"/>
      <c r="D277" s="227" t="n">
        <f aca="false">DEGREES( ACOS( COS(D$263)  *  SIN( RADIANS($B277 + 90))))</f>
        <v>164.999999967432</v>
      </c>
      <c r="E277" s="210" t="n">
        <f aca="false">DEGREES( ACOS( COS(E$263)  *  SIN( RADIANS($B277 + 90))))</f>
        <v>158.909418821001</v>
      </c>
      <c r="F277" s="210" t="n">
        <f aca="false">DEGREES( ACOS( COS(F$263)  *  SIN( RADIANS($B277 + 90))))</f>
        <v>146.774057796712</v>
      </c>
      <c r="G277" s="210" t="n">
        <f aca="false">DEGREES( ACOS( COS(G$263)  *  SIN( RADIANS($B277 + 90))))</f>
        <v>133.079517141871</v>
      </c>
      <c r="H277" s="210" t="n">
        <f aca="false">DEGREES( ACOS( COS(H$263)  *  SIN( RADIANS($B277 + 90))))</f>
        <v>118.879094017428</v>
      </c>
      <c r="I277" s="210" t="n">
        <f aca="false">DEGREES( ACOS( COS(I$263)  *  SIN( RADIANS($B277 + 90))))</f>
        <v>104.47751218593</v>
      </c>
      <c r="J277" s="227" t="n">
        <f aca="false">DEGREES( ACOS( COS(J$263)  *  SIN( RADIANS($B277 + 90))))</f>
        <v>90</v>
      </c>
      <c r="K277" s="210" t="n">
        <f aca="false">DEGREES( ACOS( COS(K$263)  *  SIN( RADIANS($B277 + 90))))</f>
        <v>75.5224878140701</v>
      </c>
      <c r="L277" s="210" t="n">
        <f aca="false">DEGREES( ACOS( COS(L$263)  *  SIN( RADIANS($B277 + 90))))</f>
        <v>61.1209059825724</v>
      </c>
      <c r="M277" s="210" t="n">
        <f aca="false">DEGREES( ACOS( COS(M$263)  *  SIN( RADIANS($B277 + 90))))</f>
        <v>46.9204828581291</v>
      </c>
      <c r="N277" s="210" t="n">
        <f aca="false">DEGREES( ACOS( COS(N$263)  *  SIN( RADIANS($B277 + 90))))</f>
        <v>33.2259422032876</v>
      </c>
      <c r="O277" s="210" t="n">
        <f aca="false">DEGREES( ACOS( COS(O$263)  *  SIN( RADIANS($B277 + 90))))</f>
        <v>21.0905811789991</v>
      </c>
      <c r="P277" s="227" t="n">
        <f aca="false">DEGREES( ACOS( COS(P$263)  *  SIN( RADIANS($B277 + 90))))</f>
        <v>15</v>
      </c>
      <c r="Q277" s="210" t="n">
        <f aca="false">DEGREES( ACOS( COS(Q$263)  *  SIN( RADIANS($B277 + 90))))</f>
        <v>21.0905811789991</v>
      </c>
      <c r="R277" s="210" t="n">
        <f aca="false">DEGREES( ACOS( COS(R$263)  *  SIN( RADIANS($B277 + 90))))</f>
        <v>33.2259422032876</v>
      </c>
      <c r="S277" s="210" t="n">
        <f aca="false">DEGREES( ACOS( COS(S$263)  *  SIN( RADIANS($B277 + 90))))</f>
        <v>46.9204828581291</v>
      </c>
      <c r="T277" s="210" t="n">
        <f aca="false">DEGREES( ACOS( COS(T$263)  *  SIN( RADIANS($B277 + 90))))</f>
        <v>61.1209059825724</v>
      </c>
      <c r="U277" s="210" t="n">
        <f aca="false">DEGREES( ACOS( COS(U$263)  *  SIN( RADIANS($B277 + 90))))</f>
        <v>75.5224878140701</v>
      </c>
      <c r="V277" s="227" t="n">
        <f aca="false">DEGREES( ACOS( COS(V$263)  *  SIN( RADIANS($B277 + 90))))</f>
        <v>90</v>
      </c>
      <c r="W277" s="210" t="n">
        <f aca="false">DEGREES( ACOS( COS(W$263)  *  SIN( RADIANS($B277 + 90))))</f>
        <v>104.47751218593</v>
      </c>
      <c r="X277" s="210" t="n">
        <f aca="false">DEGREES( ACOS( COS(X$263)  *  SIN( RADIANS($B277 + 90))))</f>
        <v>118.879094017428</v>
      </c>
      <c r="Y277" s="210" t="n">
        <f aca="false">DEGREES( ACOS( COS(Y$263)  *  SIN( RADIANS($B277 + 90))))</f>
        <v>133.079517141871</v>
      </c>
      <c r="Z277" s="210" t="n">
        <f aca="false">DEGREES( ACOS( COS(Z$263)  *  SIN( RADIANS($B277 + 90))))</f>
        <v>146.774057796712</v>
      </c>
      <c r="AA277" s="210" t="n">
        <f aca="false">DEGREES( ACOS( COS(AA$263)  *  SIN( RADIANS($B277 + 90))))</f>
        <v>158.909418821001</v>
      </c>
      <c r="AB277" s="227" t="n">
        <f aca="false">DEGREES( ACOS( COS(AB$263)  *  SIN( RADIANS($B277 + 90))))</f>
        <v>164.999996743172</v>
      </c>
      <c r="AC277" s="195" t="n">
        <f aca="false">DEGREES( ACOS( COS(AC$263)  *  SIN( RADIANS($B277 + 90))))</f>
        <v>165</v>
      </c>
      <c r="AD277" s="195" t="n">
        <f aca="false">DEGREES( ACOS( COS(AD$263)  *  SIN( RADIANS($B277 + 90))))</f>
        <v>165</v>
      </c>
      <c r="AE277" s="1"/>
      <c r="AF277" s="1"/>
      <c r="AG277" s="1"/>
      <c r="AH277" s="1"/>
      <c r="AI277" s="1"/>
      <c r="AJ277" s="1"/>
      <c r="AK277" s="1"/>
      <c r="AL277" s="1"/>
    </row>
    <row r="278" customFormat="false" ht="12.75" hidden="false" customHeight="true" outlineLevel="0" collapsed="false">
      <c r="A278" s="193" t="n">
        <f aca="false">RADIANS(MOD(B278-180,-360)+180)</f>
        <v>-2.61799387799149</v>
      </c>
      <c r="B278" s="182" t="n">
        <v>210</v>
      </c>
      <c r="C278" s="1"/>
      <c r="D278" s="227" t="n">
        <f aca="false">DEGREES( ACOS( COS(D$263)  *  SIN( RADIANS($B278 + 90))))</f>
        <v>149.999999984885</v>
      </c>
      <c r="E278" s="210" t="n">
        <f aca="false">DEGREES( ACOS( COS(E$263)  *  SIN( RADIANS($B278 + 90))))</f>
        <v>146.774057796712</v>
      </c>
      <c r="F278" s="210" t="n">
        <f aca="false">DEGREES( ACOS( COS(F$263)  *  SIN( RADIANS($B278 + 90))))</f>
        <v>138.590377890729</v>
      </c>
      <c r="G278" s="210" t="n">
        <f aca="false">DEGREES( ACOS( COS(G$263)  *  SIN( RADIANS($B278 + 90))))</f>
        <v>127.761243907035</v>
      </c>
      <c r="H278" s="210" t="n">
        <f aca="false">DEGREES( ACOS( COS(H$263)  *  SIN( RADIANS($B278 + 90))))</f>
        <v>115.658906273255</v>
      </c>
      <c r="I278" s="210" t="n">
        <f aca="false">DEGREES( ACOS( COS(I$263)  *  SIN( RADIANS($B278 + 90))))</f>
        <v>102.952539642222</v>
      </c>
      <c r="J278" s="227" t="n">
        <f aca="false">DEGREES( ACOS( COS(J$263)  *  SIN( RADIANS($B278 + 90))))</f>
        <v>90</v>
      </c>
      <c r="K278" s="210" t="n">
        <f aca="false">DEGREES( ACOS( COS(K$263)  *  SIN( RADIANS($B278 + 90))))</f>
        <v>77.0474603577776</v>
      </c>
      <c r="L278" s="210" t="n">
        <f aca="false">DEGREES( ACOS( COS(L$263)  *  SIN( RADIANS($B278 + 90))))</f>
        <v>64.3410937267447</v>
      </c>
      <c r="M278" s="210" t="n">
        <f aca="false">DEGREES( ACOS( COS(M$263)  *  SIN( RADIANS($B278 + 90))))</f>
        <v>52.238756092965</v>
      </c>
      <c r="N278" s="210" t="n">
        <f aca="false">DEGREES( ACOS( COS(N$263)  *  SIN( RADIANS($B278 + 90))))</f>
        <v>41.4096221092709</v>
      </c>
      <c r="O278" s="210" t="n">
        <f aca="false">DEGREES( ACOS( COS(O$263)  *  SIN( RADIANS($B278 + 90))))</f>
        <v>33.2259422032876</v>
      </c>
      <c r="P278" s="227" t="n">
        <f aca="false">DEGREES( ACOS( COS(P$263)  *  SIN( RADIANS($B278 + 90))))</f>
        <v>30</v>
      </c>
      <c r="Q278" s="210" t="n">
        <f aca="false">DEGREES( ACOS( COS(Q$263)  *  SIN( RADIANS($B278 + 90))))</f>
        <v>33.2259422032876</v>
      </c>
      <c r="R278" s="210" t="n">
        <f aca="false">DEGREES( ACOS( COS(R$263)  *  SIN( RADIANS($B278 + 90))))</f>
        <v>41.4096221092709</v>
      </c>
      <c r="S278" s="210" t="n">
        <f aca="false">DEGREES( ACOS( COS(S$263)  *  SIN( RADIANS($B278 + 90))))</f>
        <v>52.238756092965</v>
      </c>
      <c r="T278" s="210" t="n">
        <f aca="false">DEGREES( ACOS( COS(T$263)  *  SIN( RADIANS($B278 + 90))))</f>
        <v>64.3410937267447</v>
      </c>
      <c r="U278" s="210" t="n">
        <f aca="false">DEGREES( ACOS( COS(U$263)  *  SIN( RADIANS($B278 + 90))))</f>
        <v>77.0474603577776</v>
      </c>
      <c r="V278" s="227" t="n">
        <f aca="false">DEGREES( ACOS( COS(V$263)  *  SIN( RADIANS($B278 + 90))))</f>
        <v>90</v>
      </c>
      <c r="W278" s="210" t="n">
        <f aca="false">DEGREES( ACOS( COS(W$263)  *  SIN( RADIANS($B278 + 90))))</f>
        <v>102.952539642222</v>
      </c>
      <c r="X278" s="210" t="n">
        <f aca="false">DEGREES( ACOS( COS(X$263)  *  SIN( RADIANS($B278 + 90))))</f>
        <v>115.658906273255</v>
      </c>
      <c r="Y278" s="210" t="n">
        <f aca="false">DEGREES( ACOS( COS(Y$263)  *  SIN( RADIANS($B278 + 90))))</f>
        <v>127.761243907035</v>
      </c>
      <c r="Z278" s="210" t="n">
        <f aca="false">DEGREES( ACOS( COS(Z$263)  *  SIN( RADIANS($B278 + 90))))</f>
        <v>138.590377890729</v>
      </c>
      <c r="AA278" s="210" t="n">
        <f aca="false">DEGREES( ACOS( COS(AA$263)  *  SIN( RADIANS($B278 + 90))))</f>
        <v>146.774057796712</v>
      </c>
      <c r="AB278" s="227" t="n">
        <f aca="false">DEGREES( ACOS( COS(AB$263)  *  SIN( RADIANS($B278 + 90))))</f>
        <v>149.999998488501</v>
      </c>
      <c r="AC278" s="195" t="n">
        <f aca="false">DEGREES( ACOS( COS(AC$263)  *  SIN( RADIANS($B278 + 90))))</f>
        <v>150</v>
      </c>
      <c r="AD278" s="195" t="n">
        <f aca="false">DEGREES( ACOS( COS(AD$263)  *  SIN( RADIANS($B278 + 90))))</f>
        <v>150</v>
      </c>
      <c r="AE278" s="1"/>
      <c r="AF278" s="1"/>
      <c r="AG278" s="1"/>
      <c r="AH278" s="1"/>
      <c r="AI278" s="1"/>
      <c r="AJ278" s="1"/>
      <c r="AK278" s="1"/>
      <c r="AL278" s="1"/>
    </row>
    <row r="279" customFormat="false" ht="12.75" hidden="false" customHeight="true" outlineLevel="0" collapsed="false">
      <c r="A279" s="193" t="n">
        <f aca="false">RADIANS(MOD(B279-180,-360)+180)</f>
        <v>-2.35619449019234</v>
      </c>
      <c r="B279" s="182" t="n">
        <v>225</v>
      </c>
      <c r="C279" s="1"/>
      <c r="D279" s="227" t="n">
        <f aca="false">DEGREES( ACOS( COS(D$263)  *  SIN( RADIANS($B279 + 90))))</f>
        <v>134.999999991273</v>
      </c>
      <c r="E279" s="210" t="n">
        <f aca="false">DEGREES( ACOS( COS(E$263)  *  SIN( RADIANS($B279 + 90))))</f>
        <v>133.079517141871</v>
      </c>
      <c r="F279" s="210" t="n">
        <f aca="false">DEGREES( ACOS( COS(F$263)  *  SIN( RADIANS($B279 + 90))))</f>
        <v>127.761243907035</v>
      </c>
      <c r="G279" s="210" t="n">
        <f aca="false">DEGREES( ACOS( COS(G$263)  *  SIN( RADIANS($B279 + 90))))</f>
        <v>120</v>
      </c>
      <c r="H279" s="210" t="n">
        <f aca="false">DEGREES( ACOS( COS(H$263)  *  SIN( RADIANS($B279 + 90))))</f>
        <v>110.704811054635</v>
      </c>
      <c r="I279" s="210" t="n">
        <f aca="false">DEGREES( ACOS( COS(I$263)  *  SIN( RADIANS($B279 + 90))))</f>
        <v>100.5452905895</v>
      </c>
      <c r="J279" s="227" t="n">
        <f aca="false">DEGREES( ACOS( COS(J$263)  *  SIN( RADIANS($B279 + 90))))</f>
        <v>90</v>
      </c>
      <c r="K279" s="210" t="n">
        <f aca="false">DEGREES( ACOS( COS(K$263)  *  SIN( RADIANS($B279 + 90))))</f>
        <v>79.4547094105004</v>
      </c>
      <c r="L279" s="210" t="n">
        <f aca="false">DEGREES( ACOS( COS(L$263)  *  SIN( RADIANS($B279 + 90))))</f>
        <v>69.2951889453646</v>
      </c>
      <c r="M279" s="210" t="n">
        <f aca="false">DEGREES( ACOS( COS(M$263)  *  SIN( RADIANS($B279 + 90))))</f>
        <v>60</v>
      </c>
      <c r="N279" s="210" t="n">
        <f aca="false">DEGREES( ACOS( COS(N$263)  *  SIN( RADIANS($B279 + 90))))</f>
        <v>52.238756092965</v>
      </c>
      <c r="O279" s="210" t="n">
        <f aca="false">DEGREES( ACOS( COS(O$263)  *  SIN( RADIANS($B279 + 90))))</f>
        <v>46.9204828581291</v>
      </c>
      <c r="P279" s="227" t="n">
        <f aca="false">DEGREES( ACOS( COS(P$263)  *  SIN( RADIANS($B279 + 90))))</f>
        <v>45</v>
      </c>
      <c r="Q279" s="210" t="n">
        <f aca="false">DEGREES( ACOS( COS(Q$263)  *  SIN( RADIANS($B279 + 90))))</f>
        <v>46.9204828581291</v>
      </c>
      <c r="R279" s="210" t="n">
        <f aca="false">DEGREES( ACOS( COS(R$263)  *  SIN( RADIANS($B279 + 90))))</f>
        <v>52.238756092965</v>
      </c>
      <c r="S279" s="210" t="n">
        <f aca="false">DEGREES( ACOS( COS(S$263)  *  SIN( RADIANS($B279 + 90))))</f>
        <v>60</v>
      </c>
      <c r="T279" s="210" t="n">
        <f aca="false">DEGREES( ACOS( COS(T$263)  *  SIN( RADIANS($B279 + 90))))</f>
        <v>69.2951889453646</v>
      </c>
      <c r="U279" s="210" t="n">
        <f aca="false">DEGREES( ACOS( COS(U$263)  *  SIN( RADIANS($B279 + 90))))</f>
        <v>79.4547094105004</v>
      </c>
      <c r="V279" s="227" t="n">
        <f aca="false">DEGREES( ACOS( COS(V$263)  *  SIN( RADIANS($B279 + 90))))</f>
        <v>90</v>
      </c>
      <c r="W279" s="210" t="n">
        <f aca="false">DEGREES( ACOS( COS(W$263)  *  SIN( RADIANS($B279 + 90))))</f>
        <v>100.5452905895</v>
      </c>
      <c r="X279" s="210" t="n">
        <f aca="false">DEGREES( ACOS( COS(X$263)  *  SIN( RADIANS($B279 + 90))))</f>
        <v>110.704811054635</v>
      </c>
      <c r="Y279" s="210" t="n">
        <f aca="false">DEGREES( ACOS( COS(Y$263)  *  SIN( RADIANS($B279 + 90))))</f>
        <v>120</v>
      </c>
      <c r="Z279" s="210" t="n">
        <f aca="false">DEGREES( ACOS( COS(Z$263)  *  SIN( RADIANS($B279 + 90))))</f>
        <v>127.761243907035</v>
      </c>
      <c r="AA279" s="210" t="n">
        <f aca="false">DEGREES( ACOS( COS(AA$263)  *  SIN( RADIANS($B279 + 90))))</f>
        <v>133.079517141871</v>
      </c>
      <c r="AB279" s="227" t="n">
        <f aca="false">DEGREES( ACOS( COS(AB$263)  *  SIN( RADIANS($B279 + 90))))</f>
        <v>134.999999127335</v>
      </c>
      <c r="AC279" s="195" t="n">
        <f aca="false">DEGREES( ACOS( COS(AC$263)  *  SIN( RADIANS($B279 + 90))))</f>
        <v>135</v>
      </c>
      <c r="AD279" s="195" t="n">
        <f aca="false">DEGREES( ACOS( COS(AD$263)  *  SIN( RADIANS($B279 + 90))))</f>
        <v>135</v>
      </c>
      <c r="AE279" s="1"/>
      <c r="AF279" s="1"/>
      <c r="AG279" s="1"/>
      <c r="AH279" s="1"/>
      <c r="AI279" s="1"/>
      <c r="AJ279" s="1"/>
      <c r="AK279" s="1"/>
      <c r="AL279" s="1"/>
    </row>
    <row r="280" customFormat="false" ht="12.75" hidden="false" customHeight="true" outlineLevel="0" collapsed="false">
      <c r="A280" s="193" t="n">
        <f aca="false">RADIANS(MOD(B280-180,-360)+180)</f>
        <v>-2.0943951023932</v>
      </c>
      <c r="B280" s="182" t="n">
        <v>240</v>
      </c>
      <c r="C280" s="1"/>
      <c r="D280" s="227" t="n">
        <f aca="false">DEGREES( ACOS( COS(D$263)  *  SIN( RADIANS($B280 + 90))))</f>
        <v>119.999999994962</v>
      </c>
      <c r="E280" s="210" t="n">
        <f aca="false">DEGREES( ACOS( COS(E$263)  *  SIN( RADIANS($B280 + 90))))</f>
        <v>118.879094017428</v>
      </c>
      <c r="F280" s="210" t="n">
        <f aca="false">DEGREES( ACOS( COS(F$263)  *  SIN( RADIANS($B280 + 90))))</f>
        <v>115.658906273255</v>
      </c>
      <c r="G280" s="210" t="n">
        <f aca="false">DEGREES( ACOS( COS(G$263)  *  SIN( RADIANS($B280 + 90))))</f>
        <v>110.704811054635</v>
      </c>
      <c r="H280" s="210" t="n">
        <f aca="false">DEGREES( ACOS( COS(H$263)  *  SIN( RADIANS($B280 + 90))))</f>
        <v>104.47751218593</v>
      </c>
      <c r="I280" s="210" t="n">
        <f aca="false">DEGREES( ACOS( COS(I$263)  *  SIN( RADIANS($B280 + 90))))</f>
        <v>97.4354722261319</v>
      </c>
      <c r="J280" s="227" t="n">
        <f aca="false">DEGREES( ACOS( COS(J$263)  *  SIN( RADIANS($B280 + 90))))</f>
        <v>90</v>
      </c>
      <c r="K280" s="210" t="n">
        <f aca="false">DEGREES( ACOS( COS(K$263)  *  SIN( RADIANS($B280 + 90))))</f>
        <v>82.5645277738682</v>
      </c>
      <c r="L280" s="210" t="n">
        <f aca="false">DEGREES( ACOS( COS(L$263)  *  SIN( RADIANS($B280 + 90))))</f>
        <v>75.5224878140701</v>
      </c>
      <c r="M280" s="210" t="n">
        <f aca="false">DEGREES( ACOS( COS(M$263)  *  SIN( RADIANS($B280 + 90))))</f>
        <v>69.2951889453646</v>
      </c>
      <c r="N280" s="210" t="n">
        <f aca="false">DEGREES( ACOS( COS(N$263)  *  SIN( RADIANS($B280 + 90))))</f>
        <v>64.3410937267447</v>
      </c>
      <c r="O280" s="210" t="n">
        <f aca="false">DEGREES( ACOS( COS(O$263)  *  SIN( RADIANS($B280 + 90))))</f>
        <v>61.1209059825724</v>
      </c>
      <c r="P280" s="227" t="n">
        <f aca="false">DEGREES( ACOS( COS(P$263)  *  SIN( RADIANS($B280 + 90))))</f>
        <v>60</v>
      </c>
      <c r="Q280" s="210" t="n">
        <f aca="false">DEGREES( ACOS( COS(Q$263)  *  SIN( RADIANS($B280 + 90))))</f>
        <v>61.1209059825724</v>
      </c>
      <c r="R280" s="210" t="n">
        <f aca="false">DEGREES( ACOS( COS(R$263)  *  SIN( RADIANS($B280 + 90))))</f>
        <v>64.3410937267447</v>
      </c>
      <c r="S280" s="210" t="n">
        <f aca="false">DEGREES( ACOS( COS(S$263)  *  SIN( RADIANS($B280 + 90))))</f>
        <v>69.2951889453646</v>
      </c>
      <c r="T280" s="210" t="n">
        <f aca="false">DEGREES( ACOS( COS(T$263)  *  SIN( RADIANS($B280 + 90))))</f>
        <v>75.5224878140701</v>
      </c>
      <c r="U280" s="210" t="n">
        <f aca="false">DEGREES( ACOS( COS(U$263)  *  SIN( RADIANS($B280 + 90))))</f>
        <v>82.5645277738682</v>
      </c>
      <c r="V280" s="227" t="n">
        <f aca="false">DEGREES( ACOS( COS(V$263)  *  SIN( RADIANS($B280 + 90))))</f>
        <v>90</v>
      </c>
      <c r="W280" s="210" t="n">
        <f aca="false">DEGREES( ACOS( COS(W$263)  *  SIN( RADIANS($B280 + 90))))</f>
        <v>97.4354722261319</v>
      </c>
      <c r="X280" s="210" t="n">
        <f aca="false">DEGREES( ACOS( COS(X$263)  *  SIN( RADIANS($B280 + 90))))</f>
        <v>104.47751218593</v>
      </c>
      <c r="Y280" s="210" t="n">
        <f aca="false">DEGREES( ACOS( COS(Y$263)  *  SIN( RADIANS($B280 + 90))))</f>
        <v>110.704811054635</v>
      </c>
      <c r="Z280" s="210" t="n">
        <f aca="false">DEGREES( ACOS( COS(Z$263)  *  SIN( RADIANS($B280 + 90))))</f>
        <v>115.658906273255</v>
      </c>
      <c r="AA280" s="210" t="n">
        <f aca="false">DEGREES( ACOS( COS(AA$263)  *  SIN( RADIANS($B280 + 90))))</f>
        <v>118.879094017428</v>
      </c>
      <c r="AB280" s="227" t="n">
        <f aca="false">DEGREES( ACOS( COS(AB$263)  *  SIN( RADIANS($B280 + 90))))</f>
        <v>119.999999496167</v>
      </c>
      <c r="AC280" s="195" t="n">
        <f aca="false">DEGREES( ACOS( COS(AC$263)  *  SIN( RADIANS($B280 + 90))))</f>
        <v>120</v>
      </c>
      <c r="AD280" s="195" t="n">
        <f aca="false">DEGREES( ACOS( COS(AD$263)  *  SIN( RADIANS($B280 + 90))))</f>
        <v>120</v>
      </c>
      <c r="AE280" s="1"/>
      <c r="AF280" s="1"/>
      <c r="AG280" s="1"/>
      <c r="AH280" s="1"/>
      <c r="AI280" s="1"/>
      <c r="AJ280" s="1"/>
      <c r="AK280" s="1"/>
      <c r="AL280" s="1"/>
    </row>
    <row r="281" customFormat="false" ht="12.75" hidden="false" customHeight="true" outlineLevel="0" collapsed="false">
      <c r="A281" s="193" t="n">
        <f aca="false">RADIANS(MOD(B281-180,-360)+180)</f>
        <v>-1.83259571459405</v>
      </c>
      <c r="B281" s="182" t="n">
        <v>255</v>
      </c>
      <c r="C281" s="1"/>
      <c r="D281" s="227" t="n">
        <f aca="false">DEGREES( ACOS( COS(D$263)  *  SIN( RADIANS($B281 + 90))))</f>
        <v>104.999999997662</v>
      </c>
      <c r="E281" s="210" t="n">
        <f aca="false">DEGREES( ACOS( COS(E$263)  *  SIN( RADIANS($B281 + 90))))</f>
        <v>104.47751218593</v>
      </c>
      <c r="F281" s="210" t="n">
        <f aca="false">DEGREES( ACOS( COS(F$263)  *  SIN( RADIANS($B281 + 90))))</f>
        <v>102.952539642222</v>
      </c>
      <c r="G281" s="210" t="n">
        <f aca="false">DEGREES( ACOS( COS(G$263)  *  SIN( RADIANS($B281 + 90))))</f>
        <v>100.5452905895</v>
      </c>
      <c r="H281" s="210" t="n">
        <f aca="false">DEGREES( ACOS( COS(H$263)  *  SIN( RADIANS($B281 + 90))))</f>
        <v>97.4354722261319</v>
      </c>
      <c r="I281" s="210" t="n">
        <f aca="false">DEGREES( ACOS( COS(I$263)  *  SIN( RADIANS($B281 + 90))))</f>
        <v>93.8409657162582</v>
      </c>
      <c r="J281" s="227" t="n">
        <f aca="false">DEGREES( ACOS( COS(J$263)  *  SIN( RADIANS($B281 + 90))))</f>
        <v>90</v>
      </c>
      <c r="K281" s="210" t="n">
        <f aca="false">DEGREES( ACOS( COS(K$263)  *  SIN( RADIANS($B281 + 90))))</f>
        <v>86.1590342837419</v>
      </c>
      <c r="L281" s="210" t="n">
        <f aca="false">DEGREES( ACOS( COS(L$263)  *  SIN( RADIANS($B281 + 90))))</f>
        <v>82.5645277738682</v>
      </c>
      <c r="M281" s="210" t="n">
        <f aca="false">DEGREES( ACOS( COS(M$263)  *  SIN( RADIANS($B281 + 90))))</f>
        <v>79.4547094105005</v>
      </c>
      <c r="N281" s="210" t="n">
        <f aca="false">DEGREES( ACOS( COS(N$263)  *  SIN( RADIANS($B281 + 90))))</f>
        <v>77.0474603577776</v>
      </c>
      <c r="O281" s="210" t="n">
        <f aca="false">DEGREES( ACOS( COS(O$263)  *  SIN( RADIANS($B281 + 90))))</f>
        <v>75.5224878140701</v>
      </c>
      <c r="P281" s="227" t="n">
        <f aca="false">DEGREES( ACOS( COS(P$263)  *  SIN( RADIANS($B281 + 90))))</f>
        <v>75</v>
      </c>
      <c r="Q281" s="210" t="n">
        <f aca="false">DEGREES( ACOS( COS(Q$263)  *  SIN( RADIANS($B281 + 90))))</f>
        <v>75.5224878140701</v>
      </c>
      <c r="R281" s="210" t="n">
        <f aca="false">DEGREES( ACOS( COS(R$263)  *  SIN( RADIANS($B281 + 90))))</f>
        <v>77.0474603577776</v>
      </c>
      <c r="S281" s="210" t="n">
        <f aca="false">DEGREES( ACOS( COS(S$263)  *  SIN( RADIANS($B281 + 90))))</f>
        <v>79.4547094105005</v>
      </c>
      <c r="T281" s="210" t="n">
        <f aca="false">DEGREES( ACOS( COS(T$263)  *  SIN( RADIANS($B281 + 90))))</f>
        <v>82.5645277738682</v>
      </c>
      <c r="U281" s="210" t="n">
        <f aca="false">DEGREES( ACOS( COS(U$263)  *  SIN( RADIANS($B281 + 90))))</f>
        <v>86.1590342837419</v>
      </c>
      <c r="V281" s="227" t="n">
        <f aca="false">DEGREES( ACOS( COS(V$263)  *  SIN( RADIANS($B281 + 90))))</f>
        <v>90</v>
      </c>
      <c r="W281" s="210" t="n">
        <f aca="false">DEGREES( ACOS( COS(W$263)  *  SIN( RADIANS($B281 + 90))))</f>
        <v>93.8409657162582</v>
      </c>
      <c r="X281" s="210" t="n">
        <f aca="false">DEGREES( ACOS( COS(X$263)  *  SIN( RADIANS($B281 + 90))))</f>
        <v>97.4354722261319</v>
      </c>
      <c r="Y281" s="210" t="n">
        <f aca="false">DEGREES( ACOS( COS(Y$263)  *  SIN( RADIANS($B281 + 90))))</f>
        <v>100.5452905895</v>
      </c>
      <c r="Z281" s="210" t="n">
        <f aca="false">DEGREES( ACOS( COS(Z$263)  *  SIN( RADIANS($B281 + 90))))</f>
        <v>102.952539642222</v>
      </c>
      <c r="AA281" s="210" t="n">
        <f aca="false">DEGREES( ACOS( COS(AA$263)  *  SIN( RADIANS($B281 + 90))))</f>
        <v>104.47751218593</v>
      </c>
      <c r="AB281" s="227" t="n">
        <f aca="false">DEGREES( ACOS( COS(AB$263)  *  SIN( RADIANS($B281 + 90))))</f>
        <v>104.99999976617</v>
      </c>
      <c r="AC281" s="195" t="n">
        <f aca="false">DEGREES( ACOS( COS(AC$263)  *  SIN( RADIANS($B281 + 90))))</f>
        <v>105</v>
      </c>
      <c r="AD281" s="195" t="n">
        <f aca="false">DEGREES( ACOS( COS(AD$263)  *  SIN( RADIANS($B281 + 90))))</f>
        <v>105</v>
      </c>
      <c r="AE281" s="1"/>
      <c r="AF281" s="1"/>
      <c r="AG281" s="1"/>
      <c r="AH281" s="1"/>
      <c r="AI281" s="1"/>
      <c r="AJ281" s="1"/>
      <c r="AK281" s="1"/>
      <c r="AL281" s="1"/>
    </row>
    <row r="282" customFormat="false" ht="12.75" hidden="false" customHeight="true" outlineLevel="0" collapsed="false">
      <c r="A282" s="193" t="n">
        <f aca="false">RADIANS(MOD(B282-180,-360)+180)</f>
        <v>-1.5707963267949</v>
      </c>
      <c r="B282" s="182" t="n">
        <v>270</v>
      </c>
      <c r="C282" s="1"/>
      <c r="D282" s="227" t="n">
        <f aca="false">DEGREES( ACOS( COS(D$263)  *  SIN( RADIANS($B282 + 90))))</f>
        <v>90</v>
      </c>
      <c r="E282" s="227" t="n">
        <f aca="false">DEGREES( ACOS( COS(E$263)  *  SIN( RADIANS($B282 + 90))))</f>
        <v>90</v>
      </c>
      <c r="F282" s="227" t="n">
        <f aca="false">DEGREES( ACOS( COS(F$263)  *  SIN( RADIANS($B282 + 90))))</f>
        <v>90</v>
      </c>
      <c r="G282" s="227" t="n">
        <f aca="false">DEGREES( ACOS( COS(G$263)  *  SIN( RADIANS($B282 + 90))))</f>
        <v>90</v>
      </c>
      <c r="H282" s="227" t="n">
        <f aca="false">DEGREES( ACOS( COS(H$263)  *  SIN( RADIANS($B282 + 90))))</f>
        <v>90</v>
      </c>
      <c r="I282" s="227" t="n">
        <f aca="false">DEGREES( ACOS( COS(I$263)  *  SIN( RADIANS($B282 + 90))))</f>
        <v>90</v>
      </c>
      <c r="J282" s="227" t="n">
        <f aca="false">DEGREES( ACOS( COS(J$263)  *  SIN( RADIANS($B282 + 90))))</f>
        <v>90</v>
      </c>
      <c r="K282" s="227" t="n">
        <f aca="false">DEGREES( ACOS( COS(K$263)  *  SIN( RADIANS($B282 + 90))))</f>
        <v>90</v>
      </c>
      <c r="L282" s="227" t="n">
        <f aca="false">DEGREES( ACOS( COS(L$263)  *  SIN( RADIANS($B282 + 90))))</f>
        <v>90</v>
      </c>
      <c r="M282" s="227" t="n">
        <f aca="false">DEGREES( ACOS( COS(M$263)  *  SIN( RADIANS($B282 + 90))))</f>
        <v>90</v>
      </c>
      <c r="N282" s="227" t="n">
        <f aca="false">DEGREES( ACOS( COS(N$263)  *  SIN( RADIANS($B282 + 90))))</f>
        <v>90</v>
      </c>
      <c r="O282" s="227" t="n">
        <f aca="false">DEGREES( ACOS( COS(O$263)  *  SIN( RADIANS($B282 + 90))))</f>
        <v>90</v>
      </c>
      <c r="P282" s="227" t="n">
        <f aca="false">DEGREES( ACOS( COS(P$263)  *  SIN( RADIANS($B282 + 90))))</f>
        <v>90</v>
      </c>
      <c r="Q282" s="227" t="n">
        <f aca="false">DEGREES( ACOS( COS(Q$263)  *  SIN( RADIANS($B282 + 90))))</f>
        <v>90</v>
      </c>
      <c r="R282" s="227" t="n">
        <f aca="false">DEGREES( ACOS( COS(R$263)  *  SIN( RADIANS($B282 + 90))))</f>
        <v>90</v>
      </c>
      <c r="S282" s="227" t="n">
        <f aca="false">DEGREES( ACOS( COS(S$263)  *  SIN( RADIANS($B282 + 90))))</f>
        <v>90</v>
      </c>
      <c r="T282" s="227" t="n">
        <f aca="false">DEGREES( ACOS( COS(T$263)  *  SIN( RADIANS($B282 + 90))))</f>
        <v>90</v>
      </c>
      <c r="U282" s="227" t="n">
        <f aca="false">DEGREES( ACOS( COS(U$263)  *  SIN( RADIANS($B282 + 90))))</f>
        <v>90</v>
      </c>
      <c r="V282" s="227" t="n">
        <f aca="false">DEGREES( ACOS( COS(V$263)  *  SIN( RADIANS($B282 + 90))))</f>
        <v>90</v>
      </c>
      <c r="W282" s="227" t="n">
        <f aca="false">DEGREES( ACOS( COS(W$263)  *  SIN( RADIANS($B282 + 90))))</f>
        <v>90</v>
      </c>
      <c r="X282" s="227" t="n">
        <f aca="false">DEGREES( ACOS( COS(X$263)  *  SIN( RADIANS($B282 + 90))))</f>
        <v>90</v>
      </c>
      <c r="Y282" s="227" t="n">
        <f aca="false">DEGREES( ACOS( COS(Y$263)  *  SIN( RADIANS($B282 + 90))))</f>
        <v>90</v>
      </c>
      <c r="Z282" s="227" t="n">
        <f aca="false">DEGREES( ACOS( COS(Z$263)  *  SIN( RADIANS($B282 + 90))))</f>
        <v>90</v>
      </c>
      <c r="AA282" s="227" t="n">
        <f aca="false">DEGREES( ACOS( COS(AA$263)  *  SIN( RADIANS($B282 + 90))))</f>
        <v>90</v>
      </c>
      <c r="AB282" s="227" t="n">
        <f aca="false">DEGREES( ACOS( COS(AB$263)  *  SIN( RADIANS($B282 + 90))))</f>
        <v>90</v>
      </c>
      <c r="AC282" s="195" t="n">
        <f aca="false">DEGREES( ACOS( COS(AC$263)  *  SIN( RADIANS($B282 + 90))))</f>
        <v>90</v>
      </c>
      <c r="AD282" s="195" t="n">
        <f aca="false">DEGREES( ACOS( COS(AD$263)  *  SIN( RADIANS($B282 + 90))))</f>
        <v>90</v>
      </c>
      <c r="AE282" s="1"/>
      <c r="AF282" s="1"/>
      <c r="AG282" s="1"/>
      <c r="AH282" s="1"/>
      <c r="AI282" s="1"/>
      <c r="AJ282" s="1"/>
      <c r="AK282" s="1"/>
      <c r="AL282" s="1"/>
    </row>
    <row r="283" customFormat="false" ht="12.75" hidden="false" customHeight="true" outlineLevel="0" collapsed="false">
      <c r="A283" s="193" t="n">
        <f aca="false">RADIANS(MOD(B283-180,-360)+180)</f>
        <v>-1.30899693899575</v>
      </c>
      <c r="B283" s="182" t="n">
        <v>285</v>
      </c>
      <c r="C283" s="1"/>
      <c r="D283" s="227" t="n">
        <f aca="false">DEGREES( ACOS( COS(D$263)  *  SIN( RADIANS($B283 + 90))))</f>
        <v>75.0000000023383</v>
      </c>
      <c r="E283" s="210" t="n">
        <f aca="false">DEGREES( ACOS( COS(E$263)  *  SIN( RADIANS($B283 + 90))))</f>
        <v>75.5224878140701</v>
      </c>
      <c r="F283" s="210" t="n">
        <f aca="false">DEGREES( ACOS( COS(F$263)  *  SIN( RADIANS($B283 + 90))))</f>
        <v>77.0474603577776</v>
      </c>
      <c r="G283" s="210" t="n">
        <f aca="false">DEGREES( ACOS( COS(G$263)  *  SIN( RADIANS($B283 + 90))))</f>
        <v>79.4547094105004</v>
      </c>
      <c r="H283" s="210" t="n">
        <f aca="false">DEGREES( ACOS( COS(H$263)  *  SIN( RADIANS($B283 + 90))))</f>
        <v>82.5645277738682</v>
      </c>
      <c r="I283" s="210" t="n">
        <f aca="false">DEGREES( ACOS( COS(I$263)  *  SIN( RADIANS($B283 + 90))))</f>
        <v>86.1590342837419</v>
      </c>
      <c r="J283" s="227" t="n">
        <f aca="false">DEGREES( ACOS( COS(J$263)  *  SIN( RADIANS($B283 + 90))))</f>
        <v>90</v>
      </c>
      <c r="K283" s="210" t="n">
        <f aca="false">DEGREES( ACOS( COS(K$263)  *  SIN( RADIANS($B283 + 90))))</f>
        <v>93.8409657162582</v>
      </c>
      <c r="L283" s="210" t="n">
        <f aca="false">DEGREES( ACOS( COS(L$263)  *  SIN( RADIANS($B283 + 90))))</f>
        <v>97.4354722261319</v>
      </c>
      <c r="M283" s="210" t="n">
        <f aca="false">DEGREES( ACOS( COS(M$263)  *  SIN( RADIANS($B283 + 90))))</f>
        <v>100.5452905895</v>
      </c>
      <c r="N283" s="210" t="n">
        <f aca="false">DEGREES( ACOS( COS(N$263)  *  SIN( RADIANS($B283 + 90))))</f>
        <v>102.952539642222</v>
      </c>
      <c r="O283" s="210" t="n">
        <f aca="false">DEGREES( ACOS( COS(O$263)  *  SIN( RADIANS($B283 + 90))))</f>
        <v>104.47751218593</v>
      </c>
      <c r="P283" s="227" t="n">
        <f aca="false">DEGREES( ACOS( COS(P$263)  *  SIN( RADIANS($B283 + 90))))</f>
        <v>105</v>
      </c>
      <c r="Q283" s="210" t="n">
        <f aca="false">DEGREES( ACOS( COS(Q$263)  *  SIN( RADIANS($B283 + 90))))</f>
        <v>104.47751218593</v>
      </c>
      <c r="R283" s="210" t="n">
        <f aca="false">DEGREES( ACOS( COS(R$263)  *  SIN( RADIANS($B283 + 90))))</f>
        <v>102.952539642222</v>
      </c>
      <c r="S283" s="210" t="n">
        <f aca="false">DEGREES( ACOS( COS(S$263)  *  SIN( RADIANS($B283 + 90))))</f>
        <v>100.5452905895</v>
      </c>
      <c r="T283" s="210" t="n">
        <f aca="false">DEGREES( ACOS( COS(T$263)  *  SIN( RADIANS($B283 + 90))))</f>
        <v>97.4354722261319</v>
      </c>
      <c r="U283" s="210" t="n">
        <f aca="false">DEGREES( ACOS( COS(U$263)  *  SIN( RADIANS($B283 + 90))))</f>
        <v>93.8409657162582</v>
      </c>
      <c r="V283" s="227" t="n">
        <f aca="false">DEGREES( ACOS( COS(V$263)  *  SIN( RADIANS($B283 + 90))))</f>
        <v>90</v>
      </c>
      <c r="W283" s="210" t="n">
        <f aca="false">DEGREES( ACOS( COS(W$263)  *  SIN( RADIANS($B283 + 90))))</f>
        <v>86.1590342837419</v>
      </c>
      <c r="X283" s="210" t="n">
        <f aca="false">DEGREES( ACOS( COS(X$263)  *  SIN( RADIANS($B283 + 90))))</f>
        <v>82.5645277738682</v>
      </c>
      <c r="Y283" s="210" t="n">
        <f aca="false">DEGREES( ACOS( COS(Y$263)  *  SIN( RADIANS($B283 + 90))))</f>
        <v>79.4547094105004</v>
      </c>
      <c r="Z283" s="210" t="n">
        <f aca="false">DEGREES( ACOS( COS(Z$263)  *  SIN( RADIANS($B283 + 90))))</f>
        <v>77.0474603577776</v>
      </c>
      <c r="AA283" s="210" t="n">
        <f aca="false">DEGREES( ACOS( COS(AA$263)  *  SIN( RADIANS($B283 + 90))))</f>
        <v>75.5224878140701</v>
      </c>
      <c r="AB283" s="227" t="n">
        <f aca="false">DEGREES( ACOS( COS(AB$263)  *  SIN( RADIANS($B283 + 90))))</f>
        <v>75.0000002338298</v>
      </c>
      <c r="AC283" s="195" t="n">
        <f aca="false">DEGREES( ACOS( COS(AC$263)  *  SIN( RADIANS($B283 + 90))))</f>
        <v>75</v>
      </c>
      <c r="AD283" s="195" t="n">
        <f aca="false">DEGREES( ACOS( COS(AD$263)  *  SIN( RADIANS($B283 + 90))))</f>
        <v>75</v>
      </c>
      <c r="AE283" s="1"/>
      <c r="AF283" s="1"/>
      <c r="AG283" s="1"/>
      <c r="AH283" s="1"/>
      <c r="AI283" s="1"/>
      <c r="AJ283" s="1"/>
      <c r="AK283" s="1"/>
      <c r="AL283" s="1"/>
    </row>
    <row r="284" customFormat="false" ht="12.75" hidden="false" customHeight="true" outlineLevel="0" collapsed="false">
      <c r="A284" s="193" t="n">
        <f aca="false">RADIANS(MOD(B284-180,-360)+180)</f>
        <v>-1.0471975511966</v>
      </c>
      <c r="B284" s="182" t="n">
        <v>300</v>
      </c>
      <c r="C284" s="1"/>
      <c r="D284" s="227" t="n">
        <f aca="false">DEGREES( ACOS( COS(D$263)  *  SIN( RADIANS($B284 + 90))))</f>
        <v>60.0000000050384</v>
      </c>
      <c r="E284" s="210" t="n">
        <f aca="false">DEGREES( ACOS( COS(E$263)  *  SIN( RADIANS($B284 + 90))))</f>
        <v>61.1209059825725</v>
      </c>
      <c r="F284" s="210" t="n">
        <f aca="false">DEGREES( ACOS( COS(F$263)  *  SIN( RADIANS($B284 + 90))))</f>
        <v>64.3410937267448</v>
      </c>
      <c r="G284" s="210" t="n">
        <f aca="false">DEGREES( ACOS( COS(G$263)  *  SIN( RADIANS($B284 + 90))))</f>
        <v>69.2951889453646</v>
      </c>
      <c r="H284" s="210" t="n">
        <f aca="false">DEGREES( ACOS( COS(H$263)  *  SIN( RADIANS($B284 + 90))))</f>
        <v>75.5224878140701</v>
      </c>
      <c r="I284" s="210" t="n">
        <f aca="false">DEGREES( ACOS( COS(I$263)  *  SIN( RADIANS($B284 + 90))))</f>
        <v>82.5645277738682</v>
      </c>
      <c r="J284" s="227" t="n">
        <f aca="false">DEGREES( ACOS( COS(J$263)  *  SIN( RADIANS($B284 + 90))))</f>
        <v>90</v>
      </c>
      <c r="K284" s="210" t="n">
        <f aca="false">DEGREES( ACOS( COS(K$263)  *  SIN( RADIANS($B284 + 90))))</f>
        <v>97.4354722261318</v>
      </c>
      <c r="L284" s="210" t="n">
        <f aca="false">DEGREES( ACOS( COS(L$263)  *  SIN( RADIANS($B284 + 90))))</f>
        <v>104.47751218593</v>
      </c>
      <c r="M284" s="210" t="n">
        <f aca="false">DEGREES( ACOS( COS(M$263)  *  SIN( RADIANS($B284 + 90))))</f>
        <v>110.704811054635</v>
      </c>
      <c r="N284" s="210" t="n">
        <f aca="false">DEGREES( ACOS( COS(N$263)  *  SIN( RADIANS($B284 + 90))))</f>
        <v>115.658906273255</v>
      </c>
      <c r="O284" s="210" t="n">
        <f aca="false">DEGREES( ACOS( COS(O$263)  *  SIN( RADIANS($B284 + 90))))</f>
        <v>118.879094017428</v>
      </c>
      <c r="P284" s="227" t="n">
        <f aca="false">DEGREES( ACOS( COS(P$263)  *  SIN( RADIANS($B284 + 90))))</f>
        <v>120</v>
      </c>
      <c r="Q284" s="210" t="n">
        <f aca="false">DEGREES( ACOS( COS(Q$263)  *  SIN( RADIANS($B284 + 90))))</f>
        <v>118.879094017428</v>
      </c>
      <c r="R284" s="210" t="n">
        <f aca="false">DEGREES( ACOS( COS(R$263)  *  SIN( RADIANS($B284 + 90))))</f>
        <v>115.658906273255</v>
      </c>
      <c r="S284" s="210" t="n">
        <f aca="false">DEGREES( ACOS( COS(S$263)  *  SIN( RADIANS($B284 + 90))))</f>
        <v>110.704811054635</v>
      </c>
      <c r="T284" s="210" t="n">
        <f aca="false">DEGREES( ACOS( COS(T$263)  *  SIN( RADIANS($B284 + 90))))</f>
        <v>104.47751218593</v>
      </c>
      <c r="U284" s="210" t="n">
        <f aca="false">DEGREES( ACOS( COS(U$263)  *  SIN( RADIANS($B284 + 90))))</f>
        <v>97.4354722261318</v>
      </c>
      <c r="V284" s="227" t="n">
        <f aca="false">DEGREES( ACOS( COS(V$263)  *  SIN( RADIANS($B284 + 90))))</f>
        <v>90</v>
      </c>
      <c r="W284" s="210" t="n">
        <f aca="false">DEGREES( ACOS( COS(W$263)  *  SIN( RADIANS($B284 + 90))))</f>
        <v>82.5645277738682</v>
      </c>
      <c r="X284" s="210" t="n">
        <f aca="false">DEGREES( ACOS( COS(X$263)  *  SIN( RADIANS($B284 + 90))))</f>
        <v>75.5224878140701</v>
      </c>
      <c r="Y284" s="210" t="n">
        <f aca="false">DEGREES( ACOS( COS(Y$263)  *  SIN( RADIANS($B284 + 90))))</f>
        <v>69.2951889453646</v>
      </c>
      <c r="Z284" s="210" t="n">
        <f aca="false">DEGREES( ACOS( COS(Z$263)  *  SIN( RADIANS($B284 + 90))))</f>
        <v>64.3410937267448</v>
      </c>
      <c r="AA284" s="210" t="n">
        <f aca="false">DEGREES( ACOS( COS(AA$263)  *  SIN( RADIANS($B284 + 90))))</f>
        <v>61.1209059825725</v>
      </c>
      <c r="AB284" s="227" t="n">
        <f aca="false">DEGREES( ACOS( COS(AB$263)  *  SIN( RADIANS($B284 + 90))))</f>
        <v>60.0000005038332</v>
      </c>
      <c r="AC284" s="195" t="n">
        <f aca="false">DEGREES( ACOS( COS(AC$263)  *  SIN( RADIANS($B284 + 90))))</f>
        <v>60.0000000000001</v>
      </c>
      <c r="AD284" s="195" t="n">
        <f aca="false">DEGREES( ACOS( COS(AD$263)  *  SIN( RADIANS($B284 + 90))))</f>
        <v>60.0000000000001</v>
      </c>
      <c r="AE284" s="1"/>
      <c r="AF284" s="1"/>
      <c r="AG284" s="1"/>
      <c r="AH284" s="1"/>
      <c r="AI284" s="1"/>
      <c r="AJ284" s="1"/>
      <c r="AK284" s="1"/>
      <c r="AL284" s="1"/>
    </row>
    <row r="285" customFormat="false" ht="12.75" hidden="false" customHeight="true" outlineLevel="0" collapsed="false">
      <c r="A285" s="193" t="n">
        <f aca="false">RADIANS(MOD(B285-180,-360)+180)</f>
        <v>-0.785398163397448</v>
      </c>
      <c r="B285" s="182" t="n">
        <v>315</v>
      </c>
      <c r="C285" s="1"/>
      <c r="D285" s="227" t="n">
        <f aca="false">DEGREES( ACOS( COS(D$263)  *  SIN( RADIANS($B285 + 90))))</f>
        <v>45.0000000087267</v>
      </c>
      <c r="E285" s="210" t="n">
        <f aca="false">DEGREES( ACOS( COS(E$263)  *  SIN( RADIANS($B285 + 90))))</f>
        <v>46.9204828581291</v>
      </c>
      <c r="F285" s="210" t="n">
        <f aca="false">DEGREES( ACOS( COS(F$263)  *  SIN( RADIANS($B285 + 90))))</f>
        <v>52.238756092965</v>
      </c>
      <c r="G285" s="210" t="n">
        <f aca="false">DEGREES( ACOS( COS(G$263)  *  SIN( RADIANS($B285 + 90))))</f>
        <v>60</v>
      </c>
      <c r="H285" s="210" t="n">
        <f aca="false">DEGREES( ACOS( COS(H$263)  *  SIN( RADIANS($B285 + 90))))</f>
        <v>69.2951889453646</v>
      </c>
      <c r="I285" s="210" t="n">
        <f aca="false">DEGREES( ACOS( COS(I$263)  *  SIN( RADIANS($B285 + 90))))</f>
        <v>79.4547094105005</v>
      </c>
      <c r="J285" s="227" t="n">
        <f aca="false">DEGREES( ACOS( COS(J$263)  *  SIN( RADIANS($B285 + 90))))</f>
        <v>90</v>
      </c>
      <c r="K285" s="210" t="n">
        <f aca="false">DEGREES( ACOS( COS(K$263)  *  SIN( RADIANS($B285 + 90))))</f>
        <v>100.5452905895</v>
      </c>
      <c r="L285" s="210" t="n">
        <f aca="false">DEGREES( ACOS( COS(L$263)  *  SIN( RADIANS($B285 + 90))))</f>
        <v>110.704811054635</v>
      </c>
      <c r="M285" s="210" t="n">
        <f aca="false">DEGREES( ACOS( COS(M$263)  *  SIN( RADIANS($B285 + 90))))</f>
        <v>120</v>
      </c>
      <c r="N285" s="210" t="n">
        <f aca="false">DEGREES( ACOS( COS(N$263)  *  SIN( RADIANS($B285 + 90))))</f>
        <v>127.761243907035</v>
      </c>
      <c r="O285" s="210" t="n">
        <f aca="false">DEGREES( ACOS( COS(O$263)  *  SIN( RADIANS($B285 + 90))))</f>
        <v>133.079517141871</v>
      </c>
      <c r="P285" s="227" t="n">
        <f aca="false">DEGREES( ACOS( COS(P$263)  *  SIN( RADIANS($B285 + 90))))</f>
        <v>135</v>
      </c>
      <c r="Q285" s="210" t="n">
        <f aca="false">DEGREES( ACOS( COS(Q$263)  *  SIN( RADIANS($B285 + 90))))</f>
        <v>133.079517141871</v>
      </c>
      <c r="R285" s="210" t="n">
        <f aca="false">DEGREES( ACOS( COS(R$263)  *  SIN( RADIANS($B285 + 90))))</f>
        <v>127.761243907035</v>
      </c>
      <c r="S285" s="210" t="n">
        <f aca="false">DEGREES( ACOS( COS(S$263)  *  SIN( RADIANS($B285 + 90))))</f>
        <v>120</v>
      </c>
      <c r="T285" s="210" t="n">
        <f aca="false">DEGREES( ACOS( COS(T$263)  *  SIN( RADIANS($B285 + 90))))</f>
        <v>110.704811054635</v>
      </c>
      <c r="U285" s="210" t="n">
        <f aca="false">DEGREES( ACOS( COS(U$263)  *  SIN( RADIANS($B285 + 90))))</f>
        <v>100.5452905895</v>
      </c>
      <c r="V285" s="227" t="n">
        <f aca="false">DEGREES( ACOS( COS(V$263)  *  SIN( RADIANS($B285 + 90))))</f>
        <v>90</v>
      </c>
      <c r="W285" s="210" t="n">
        <f aca="false">DEGREES( ACOS( COS(W$263)  *  SIN( RADIANS($B285 + 90))))</f>
        <v>79.4547094105005</v>
      </c>
      <c r="X285" s="210" t="n">
        <f aca="false">DEGREES( ACOS( COS(X$263)  *  SIN( RADIANS($B285 + 90))))</f>
        <v>69.2951889453646</v>
      </c>
      <c r="Y285" s="210" t="n">
        <f aca="false">DEGREES( ACOS( COS(Y$263)  *  SIN( RADIANS($B285 + 90))))</f>
        <v>60</v>
      </c>
      <c r="Z285" s="210" t="n">
        <f aca="false">DEGREES( ACOS( COS(Z$263)  *  SIN( RADIANS($B285 + 90))))</f>
        <v>52.238756092965</v>
      </c>
      <c r="AA285" s="210" t="n">
        <f aca="false">DEGREES( ACOS( COS(AA$263)  *  SIN( RADIANS($B285 + 90))))</f>
        <v>46.9204828581291</v>
      </c>
      <c r="AB285" s="227" t="n">
        <f aca="false">DEGREES( ACOS( COS(AB$263)  *  SIN( RADIANS($B285 + 90))))</f>
        <v>45.0000008726646</v>
      </c>
      <c r="AC285" s="195" t="n">
        <f aca="false">DEGREES( ACOS( COS(AC$263)  *  SIN( RADIANS($B285 + 90))))</f>
        <v>45</v>
      </c>
      <c r="AD285" s="195" t="n">
        <f aca="false">DEGREES( ACOS( COS(AD$263)  *  SIN( RADIANS($B285 + 90))))</f>
        <v>45</v>
      </c>
      <c r="AE285" s="1"/>
      <c r="AF285" s="1"/>
      <c r="AG285" s="1"/>
      <c r="AH285" s="1"/>
      <c r="AI285" s="1"/>
      <c r="AJ285" s="1"/>
      <c r="AK285" s="1"/>
      <c r="AL285" s="1"/>
    </row>
    <row r="286" customFormat="false" ht="12.75" hidden="false" customHeight="true" outlineLevel="0" collapsed="false">
      <c r="A286" s="193" t="n">
        <f aca="false">RADIANS(MOD(B286-180,-360)+180)</f>
        <v>-0.523598775598299</v>
      </c>
      <c r="B286" s="182" t="n">
        <v>330</v>
      </c>
      <c r="C286" s="1"/>
      <c r="D286" s="227" t="n">
        <f aca="false">DEGREES( ACOS( COS(D$263)  *  SIN( RADIANS($B286 + 90))))</f>
        <v>30.000000015115</v>
      </c>
      <c r="E286" s="210" t="n">
        <f aca="false">DEGREES( ACOS( COS(E$263)  *  SIN( RADIANS($B286 + 90))))</f>
        <v>33.2259422032876</v>
      </c>
      <c r="F286" s="210" t="n">
        <f aca="false">DEGREES( ACOS( COS(F$263)  *  SIN( RADIANS($B286 + 90))))</f>
        <v>41.4096221092708</v>
      </c>
      <c r="G286" s="210" t="n">
        <f aca="false">DEGREES( ACOS( COS(G$263)  *  SIN( RADIANS($B286 + 90))))</f>
        <v>52.238756092965</v>
      </c>
      <c r="H286" s="210" t="n">
        <f aca="false">DEGREES( ACOS( COS(H$263)  *  SIN( RADIANS($B286 + 90))))</f>
        <v>64.3410937267447</v>
      </c>
      <c r="I286" s="210" t="n">
        <f aca="false">DEGREES( ACOS( COS(I$263)  *  SIN( RADIANS($B286 + 90))))</f>
        <v>77.0474603577776</v>
      </c>
      <c r="J286" s="227" t="n">
        <f aca="false">DEGREES( ACOS( COS(J$263)  *  SIN( RADIANS($B286 + 90))))</f>
        <v>90</v>
      </c>
      <c r="K286" s="210" t="n">
        <f aca="false">DEGREES( ACOS( COS(K$263)  *  SIN( RADIANS($B286 + 90))))</f>
        <v>102.952539642222</v>
      </c>
      <c r="L286" s="210" t="n">
        <f aca="false">DEGREES( ACOS( COS(L$263)  *  SIN( RADIANS($B286 + 90))))</f>
        <v>115.658906273255</v>
      </c>
      <c r="M286" s="210" t="n">
        <f aca="false">DEGREES( ACOS( COS(M$263)  *  SIN( RADIANS($B286 + 90))))</f>
        <v>127.761243907035</v>
      </c>
      <c r="N286" s="210" t="n">
        <f aca="false">DEGREES( ACOS( COS(N$263)  *  SIN( RADIANS($B286 + 90))))</f>
        <v>138.590377890729</v>
      </c>
      <c r="O286" s="210" t="n">
        <f aca="false">DEGREES( ACOS( COS(O$263)  *  SIN( RADIANS($B286 + 90))))</f>
        <v>146.774057796712</v>
      </c>
      <c r="P286" s="227" t="n">
        <f aca="false">DEGREES( ACOS( COS(P$263)  *  SIN( RADIANS($B286 + 90))))</f>
        <v>150</v>
      </c>
      <c r="Q286" s="210" t="n">
        <f aca="false">DEGREES( ACOS( COS(Q$263)  *  SIN( RADIANS($B286 + 90))))</f>
        <v>146.774057796712</v>
      </c>
      <c r="R286" s="210" t="n">
        <f aca="false">DEGREES( ACOS( COS(R$263)  *  SIN( RADIANS($B286 + 90))))</f>
        <v>138.590377890729</v>
      </c>
      <c r="S286" s="210" t="n">
        <f aca="false">DEGREES( ACOS( COS(S$263)  *  SIN( RADIANS($B286 + 90))))</f>
        <v>127.761243907035</v>
      </c>
      <c r="T286" s="210" t="n">
        <f aca="false">DEGREES( ACOS( COS(T$263)  *  SIN( RADIANS($B286 + 90))))</f>
        <v>115.658906273255</v>
      </c>
      <c r="U286" s="210" t="n">
        <f aca="false">DEGREES( ACOS( COS(U$263)  *  SIN( RADIANS($B286 + 90))))</f>
        <v>102.952539642222</v>
      </c>
      <c r="V286" s="227" t="n">
        <f aca="false">DEGREES( ACOS( COS(V$263)  *  SIN( RADIANS($B286 + 90))))</f>
        <v>90</v>
      </c>
      <c r="W286" s="210" t="n">
        <f aca="false">DEGREES( ACOS( COS(W$263)  *  SIN( RADIANS($B286 + 90))))</f>
        <v>77.0474603577776</v>
      </c>
      <c r="X286" s="210" t="n">
        <f aca="false">DEGREES( ACOS( COS(X$263)  *  SIN( RADIANS($B286 + 90))))</f>
        <v>64.3410937267447</v>
      </c>
      <c r="Y286" s="210" t="n">
        <f aca="false">DEGREES( ACOS( COS(Y$263)  *  SIN( RADIANS($B286 + 90))))</f>
        <v>52.238756092965</v>
      </c>
      <c r="Z286" s="210" t="n">
        <f aca="false">DEGREES( ACOS( COS(Z$263)  *  SIN( RADIANS($B286 + 90))))</f>
        <v>41.4096221092708</v>
      </c>
      <c r="AA286" s="210" t="n">
        <f aca="false">DEGREES( ACOS( COS(AA$263)  *  SIN( RADIANS($B286 + 90))))</f>
        <v>33.2259422032876</v>
      </c>
      <c r="AB286" s="227" t="n">
        <f aca="false">DEGREES( ACOS( COS(AB$263)  *  SIN( RADIANS($B286 + 90))))</f>
        <v>30.0000015114994</v>
      </c>
      <c r="AC286" s="195" t="n">
        <f aca="false">DEGREES( ACOS( COS(AC$263)  *  SIN( RADIANS($B286 + 90))))</f>
        <v>30</v>
      </c>
      <c r="AD286" s="195" t="n">
        <f aca="false">DEGREES( ACOS( COS(AD$263)  *  SIN( RADIANS($B286 + 90))))</f>
        <v>30</v>
      </c>
      <c r="AE286" s="1"/>
      <c r="AF286" s="1"/>
      <c r="AG286" s="1"/>
      <c r="AH286" s="1"/>
      <c r="AI286" s="1"/>
      <c r="AJ286" s="1"/>
      <c r="AK286" s="1"/>
      <c r="AL286" s="1"/>
    </row>
    <row r="287" customFormat="false" ht="12.75" hidden="false" customHeight="true" outlineLevel="0" collapsed="false">
      <c r="A287" s="193" t="n">
        <f aca="false">RADIANS(MOD(B287-180,-360)+180)</f>
        <v>-0.261799387799149</v>
      </c>
      <c r="B287" s="182" t="n">
        <v>345</v>
      </c>
      <c r="C287" s="1"/>
      <c r="D287" s="227" t="n">
        <f aca="false">DEGREES( ACOS( COS(D$263)  *  SIN( RADIANS($B287 + 90))))</f>
        <v>15.0000000325683</v>
      </c>
      <c r="E287" s="210" t="n">
        <f aca="false">DEGREES( ACOS( COS(E$263)  *  SIN( RADIANS($B287 + 90))))</f>
        <v>21.0905811789991</v>
      </c>
      <c r="F287" s="210" t="n">
        <f aca="false">DEGREES( ACOS( COS(F$263)  *  SIN( RADIANS($B287 + 90))))</f>
        <v>33.2259422032876</v>
      </c>
      <c r="G287" s="210" t="n">
        <f aca="false">DEGREES( ACOS( COS(G$263)  *  SIN( RADIANS($B287 + 90))))</f>
        <v>46.9204828581291</v>
      </c>
      <c r="H287" s="210" t="n">
        <f aca="false">DEGREES( ACOS( COS(H$263)  *  SIN( RADIANS($B287 + 90))))</f>
        <v>61.1209059825724</v>
      </c>
      <c r="I287" s="210" t="n">
        <f aca="false">DEGREES( ACOS( COS(I$263)  *  SIN( RADIANS($B287 + 90))))</f>
        <v>75.5224878140701</v>
      </c>
      <c r="J287" s="227" t="n">
        <f aca="false">DEGREES( ACOS( COS(J$263)  *  SIN( RADIANS($B287 + 90))))</f>
        <v>90</v>
      </c>
      <c r="K287" s="210" t="n">
        <f aca="false">DEGREES( ACOS( COS(K$263)  *  SIN( RADIANS($B287 + 90))))</f>
        <v>104.47751218593</v>
      </c>
      <c r="L287" s="210" t="n">
        <f aca="false">DEGREES( ACOS( COS(L$263)  *  SIN( RADIANS($B287 + 90))))</f>
        <v>118.879094017428</v>
      </c>
      <c r="M287" s="210" t="n">
        <f aca="false">DEGREES( ACOS( COS(M$263)  *  SIN( RADIANS($B287 + 90))))</f>
        <v>133.079517141871</v>
      </c>
      <c r="N287" s="210" t="n">
        <f aca="false">DEGREES( ACOS( COS(N$263)  *  SIN( RADIANS($B287 + 90))))</f>
        <v>146.774057796712</v>
      </c>
      <c r="O287" s="210" t="n">
        <f aca="false">DEGREES( ACOS( COS(O$263)  *  SIN( RADIANS($B287 + 90))))</f>
        <v>158.909418821001</v>
      </c>
      <c r="P287" s="227" t="n">
        <f aca="false">DEGREES( ACOS( COS(P$263)  *  SIN( RADIANS($B287 + 90))))</f>
        <v>165</v>
      </c>
      <c r="Q287" s="210" t="n">
        <f aca="false">DEGREES( ACOS( COS(Q$263)  *  SIN( RADIANS($B287 + 90))))</f>
        <v>158.909418821001</v>
      </c>
      <c r="R287" s="210" t="n">
        <f aca="false">DEGREES( ACOS( COS(R$263)  *  SIN( RADIANS($B287 + 90))))</f>
        <v>146.774057796712</v>
      </c>
      <c r="S287" s="210" t="n">
        <f aca="false">DEGREES( ACOS( COS(S$263)  *  SIN( RADIANS($B287 + 90))))</f>
        <v>133.079517141871</v>
      </c>
      <c r="T287" s="210" t="n">
        <f aca="false">DEGREES( ACOS( COS(T$263)  *  SIN( RADIANS($B287 + 90))))</f>
        <v>118.879094017428</v>
      </c>
      <c r="U287" s="210" t="n">
        <f aca="false">DEGREES( ACOS( COS(U$263)  *  SIN( RADIANS($B287 + 90))))</f>
        <v>104.47751218593</v>
      </c>
      <c r="V287" s="227" t="n">
        <f aca="false">DEGREES( ACOS( COS(V$263)  *  SIN( RADIANS($B287 + 90))))</f>
        <v>90</v>
      </c>
      <c r="W287" s="210" t="n">
        <f aca="false">DEGREES( ACOS( COS(W$263)  *  SIN( RADIANS($B287 + 90))))</f>
        <v>75.5224878140701</v>
      </c>
      <c r="X287" s="210" t="n">
        <f aca="false">DEGREES( ACOS( COS(X$263)  *  SIN( RADIANS($B287 + 90))))</f>
        <v>61.1209059825724</v>
      </c>
      <c r="Y287" s="210" t="n">
        <f aca="false">DEGREES( ACOS( COS(Y$263)  *  SIN( RADIANS($B287 + 90))))</f>
        <v>46.9204828581291</v>
      </c>
      <c r="Z287" s="210" t="n">
        <f aca="false">DEGREES( ACOS( COS(Z$263)  *  SIN( RADIANS($B287 + 90))))</f>
        <v>33.2259422032876</v>
      </c>
      <c r="AA287" s="210" t="n">
        <f aca="false">DEGREES( ACOS( COS(AA$263)  *  SIN( RADIANS($B287 + 90))))</f>
        <v>21.0905811789991</v>
      </c>
      <c r="AB287" s="227" t="n">
        <f aca="false">DEGREES( ACOS( COS(AB$263)  *  SIN( RADIANS($B287 + 90))))</f>
        <v>15.0000032568284</v>
      </c>
      <c r="AC287" s="195" t="n">
        <f aca="false">DEGREES( ACOS( COS(AC$263)  *  SIN( RADIANS($B287 + 90))))</f>
        <v>15</v>
      </c>
      <c r="AD287" s="195" t="n">
        <f aca="false">DEGREES( ACOS( COS(AD$263)  *  SIN( RADIANS($B287 + 90))))</f>
        <v>15</v>
      </c>
      <c r="AE287" s="1"/>
      <c r="AF287" s="1"/>
      <c r="AG287" s="1"/>
      <c r="AH287" s="1"/>
      <c r="AI287" s="1"/>
      <c r="AJ287" s="1"/>
      <c r="AK287" s="1"/>
      <c r="AL287" s="1"/>
    </row>
    <row r="288" customFormat="false" ht="12.75" hidden="false" customHeight="true" outlineLevel="0" collapsed="false">
      <c r="A288" s="193" t="n">
        <f aca="false">RADIANS(MOD(B288-180,-360)+180)</f>
        <v>-0.000174532925199274</v>
      </c>
      <c r="B288" s="198" t="n">
        <v>359.99</v>
      </c>
      <c r="C288" s="1"/>
      <c r="D288" s="227" t="n">
        <f aca="false">DEGREES( ACOS( COS(D$263)  *  SIN( RADIANS($B288 + 90))))</f>
        <v>0.0100498756078044</v>
      </c>
      <c r="E288" s="227" t="n">
        <f aca="false">DEGREES( ACOS( COS(E$263)  *  SIN( RADIANS($B288 + 90))))</f>
        <v>15.0000032568284</v>
      </c>
      <c r="F288" s="227" t="n">
        <f aca="false">DEGREES( ACOS( COS(F$263)  *  SIN( RADIANS($B288 + 90))))</f>
        <v>30.0000015114994</v>
      </c>
      <c r="G288" s="227" t="n">
        <f aca="false">DEGREES( ACOS( COS(G$263)  *  SIN( RADIANS($B288 + 90))))</f>
        <v>45.0000008726646</v>
      </c>
      <c r="H288" s="227" t="n">
        <f aca="false">DEGREES( ACOS( COS(H$263)  *  SIN( RADIANS($B288 + 90))))</f>
        <v>60.0000005038332</v>
      </c>
      <c r="I288" s="227" t="n">
        <f aca="false">DEGREES( ACOS( COS(I$263)  *  SIN( RADIANS($B288 + 90))))</f>
        <v>75.0000002338298</v>
      </c>
      <c r="J288" s="227" t="n">
        <f aca="false">DEGREES( ACOS( COS(J$263)  *  SIN( RADIANS($B288 + 90))))</f>
        <v>90</v>
      </c>
      <c r="K288" s="227" t="n">
        <f aca="false">DEGREES( ACOS( COS(K$263)  *  SIN( RADIANS($B288 + 90))))</f>
        <v>104.99999976617</v>
      </c>
      <c r="L288" s="227" t="n">
        <f aca="false">DEGREES( ACOS( COS(L$263)  *  SIN( RADIANS($B288 + 90))))</f>
        <v>119.999999496167</v>
      </c>
      <c r="M288" s="227" t="n">
        <f aca="false">DEGREES( ACOS( COS(M$263)  *  SIN( RADIANS($B288 + 90))))</f>
        <v>134.999999127335</v>
      </c>
      <c r="N288" s="227" t="n">
        <f aca="false">DEGREES( ACOS( COS(N$263)  *  SIN( RADIANS($B288 + 90))))</f>
        <v>149.999998488501</v>
      </c>
      <c r="O288" s="227" t="n">
        <f aca="false">DEGREES( ACOS( COS(O$263)  *  SIN( RADIANS($B288 + 90))))</f>
        <v>164.999996743172</v>
      </c>
      <c r="P288" s="227" t="n">
        <f aca="false">DEGREES( ACOS( COS(P$263)  *  SIN( RADIANS($B288 + 90))))</f>
        <v>179.990000000017</v>
      </c>
      <c r="Q288" s="227" t="n">
        <f aca="false">DEGREES( ACOS( COS(Q$263)  *  SIN( RADIANS($B288 + 90))))</f>
        <v>164.999996743172</v>
      </c>
      <c r="R288" s="227" t="n">
        <f aca="false">DEGREES( ACOS( COS(R$263)  *  SIN( RADIANS($B288 + 90))))</f>
        <v>149.999998488501</v>
      </c>
      <c r="S288" s="227" t="n">
        <f aca="false">DEGREES( ACOS( COS(S$263)  *  SIN( RADIANS($B288 + 90))))</f>
        <v>134.999999127335</v>
      </c>
      <c r="T288" s="227" t="n">
        <f aca="false">DEGREES( ACOS( COS(T$263)  *  SIN( RADIANS($B288 + 90))))</f>
        <v>119.999999496167</v>
      </c>
      <c r="U288" s="227" t="n">
        <f aca="false">DEGREES( ACOS( COS(U$263)  *  SIN( RADIANS($B288 + 90))))</f>
        <v>104.99999976617</v>
      </c>
      <c r="V288" s="227" t="n">
        <f aca="false">DEGREES( ACOS( COS(V$263)  *  SIN( RADIANS($B288 + 90))))</f>
        <v>90</v>
      </c>
      <c r="W288" s="227" t="n">
        <f aca="false">DEGREES( ACOS( COS(W$263)  *  SIN( RADIANS($B288 + 90))))</f>
        <v>75.0000002338298</v>
      </c>
      <c r="X288" s="227" t="n">
        <f aca="false">DEGREES( ACOS( COS(X$263)  *  SIN( RADIANS($B288 + 90))))</f>
        <v>60.0000005038332</v>
      </c>
      <c r="Y288" s="227" t="n">
        <f aca="false">DEGREES( ACOS( COS(Y$263)  *  SIN( RADIANS($B288 + 90))))</f>
        <v>45.0000008726646</v>
      </c>
      <c r="Z288" s="227" t="n">
        <f aca="false">DEGREES( ACOS( COS(Z$263)  *  SIN( RADIANS($B288 + 90))))</f>
        <v>30.0000015114994</v>
      </c>
      <c r="AA288" s="227" t="n">
        <f aca="false">DEGREES( ACOS( COS(AA$263)  *  SIN( RADIANS($B288 + 90))))</f>
        <v>15.0000032568284</v>
      </c>
      <c r="AB288" s="227" t="n">
        <f aca="false">DEGREES( ACOS( COS(AB$263)  *  SIN( RADIANS($B288 + 90))))</f>
        <v>0.0141421355656056</v>
      </c>
      <c r="AC288" s="195" t="n">
        <f aca="false">DEGREES( ACOS( COS(AC$263)  *  SIN( RADIANS($B288 + 90))))</f>
        <v>0.00999999998265327</v>
      </c>
      <c r="AD288" s="195" t="n">
        <f aca="false">DEGREES( ACOS( COS(AD$263)  *  SIN( RADIANS($B288 + 90))))</f>
        <v>0.00999999998265327</v>
      </c>
      <c r="AE288" s="1"/>
      <c r="AF288" s="1"/>
      <c r="AG288" s="1"/>
      <c r="AH288" s="1"/>
      <c r="AI288" s="1"/>
      <c r="AJ288" s="1"/>
      <c r="AK288" s="1"/>
      <c r="AL288" s="1"/>
    </row>
    <row r="289" customFormat="false" ht="12.75" hidden="false" customHeight="true" outlineLevel="0" collapsed="false">
      <c r="A289" s="192" t="n">
        <f aca="false">RADIANS(MOD(B289-180,-360)+180)</f>
        <v>0</v>
      </c>
      <c r="B289" s="184" t="n">
        <v>360</v>
      </c>
      <c r="C289" s="1"/>
      <c r="D289" s="195" t="n">
        <f aca="false">DEGREES( ACOS( COS(D$263)  *  SIN( RADIANS($B289 + 90))))</f>
        <v>0.0010000000370999</v>
      </c>
      <c r="E289" s="195" t="n">
        <f aca="false">DEGREES( ACOS( COS(E$263)  *  SIN( RADIANS($B289 + 90))))</f>
        <v>15</v>
      </c>
      <c r="F289" s="195" t="n">
        <f aca="false">DEGREES( ACOS( COS(F$263)  *  SIN( RADIANS($B289 + 90))))</f>
        <v>30</v>
      </c>
      <c r="G289" s="195" t="n">
        <f aca="false">DEGREES( ACOS( COS(G$263)  *  SIN( RADIANS($B289 + 90))))</f>
        <v>45</v>
      </c>
      <c r="H289" s="195" t="n">
        <f aca="false">DEGREES( ACOS( COS(H$263)  *  SIN( RADIANS($B289 + 90))))</f>
        <v>60</v>
      </c>
      <c r="I289" s="195" t="n">
        <f aca="false">DEGREES( ACOS( COS(I$263)  *  SIN( RADIANS($B289 + 90))))</f>
        <v>75</v>
      </c>
      <c r="J289" s="195" t="n">
        <f aca="false">DEGREES( ACOS( COS(J$263)  *  SIN( RADIANS($B289 + 90))))</f>
        <v>90</v>
      </c>
      <c r="K289" s="195" t="n">
        <f aca="false">DEGREES( ACOS( COS(K$263)  *  SIN( RADIANS($B289 + 90))))</f>
        <v>105</v>
      </c>
      <c r="L289" s="195" t="n">
        <f aca="false">DEGREES( ACOS( COS(L$263)  *  SIN( RADIANS($B289 + 90))))</f>
        <v>120</v>
      </c>
      <c r="M289" s="195" t="n">
        <f aca="false">DEGREES( ACOS( COS(M$263)  *  SIN( RADIANS($B289 + 90))))</f>
        <v>135</v>
      </c>
      <c r="N289" s="195" t="n">
        <f aca="false">DEGREES( ACOS( COS(N$263)  *  SIN( RADIANS($B289 + 90))))</f>
        <v>150</v>
      </c>
      <c r="O289" s="195" t="n">
        <f aca="false">DEGREES( ACOS( COS(O$263)  *  SIN( RADIANS($B289 + 90))))</f>
        <v>165</v>
      </c>
      <c r="P289" s="195" t="n">
        <f aca="false">DEGREES( ACOS( COS(P$263)  *  SIN( RADIANS($B289 + 90))))</f>
        <v>180</v>
      </c>
      <c r="Q289" s="195" t="n">
        <f aca="false">DEGREES( ACOS( COS(Q$263)  *  SIN( RADIANS($B289 + 90))))</f>
        <v>165</v>
      </c>
      <c r="R289" s="195" t="n">
        <f aca="false">DEGREES( ACOS( COS(R$263)  *  SIN( RADIANS($B289 + 90))))</f>
        <v>150</v>
      </c>
      <c r="S289" s="195" t="n">
        <f aca="false">DEGREES( ACOS( COS(S$263)  *  SIN( RADIANS($B289 + 90))))</f>
        <v>135</v>
      </c>
      <c r="T289" s="195" t="n">
        <f aca="false">DEGREES( ACOS( COS(T$263)  *  SIN( RADIANS($B289 + 90))))</f>
        <v>120</v>
      </c>
      <c r="U289" s="195" t="n">
        <f aca="false">DEGREES( ACOS( COS(U$263)  *  SIN( RADIANS($B289 + 90))))</f>
        <v>105</v>
      </c>
      <c r="V289" s="195" t="n">
        <f aca="false">DEGREES( ACOS( COS(V$263)  *  SIN( RADIANS($B289 + 90))))</f>
        <v>90</v>
      </c>
      <c r="W289" s="195" t="n">
        <f aca="false">DEGREES( ACOS( COS(W$263)  *  SIN( RADIANS($B289 + 90))))</f>
        <v>75</v>
      </c>
      <c r="X289" s="195" t="n">
        <f aca="false">DEGREES( ACOS( COS(X$263)  *  SIN( RADIANS($B289 + 90))))</f>
        <v>60</v>
      </c>
      <c r="Y289" s="195" t="n">
        <f aca="false">DEGREES( ACOS( COS(Y$263)  *  SIN( RADIANS($B289 + 90))))</f>
        <v>45</v>
      </c>
      <c r="Z289" s="195" t="n">
        <f aca="false">DEGREES( ACOS( COS(Z$263)  *  SIN( RADIANS($B289 + 90))))</f>
        <v>30</v>
      </c>
      <c r="AA289" s="195" t="n">
        <f aca="false">DEGREES( ACOS( COS(AA$263)  *  SIN( RADIANS($B289 + 90))))</f>
        <v>15</v>
      </c>
      <c r="AB289" s="195" t="n">
        <f aca="false">DEGREES( ACOS( COS(AB$263)  *  SIN( RADIANS($B289 + 90))))</f>
        <v>0.00999999998265327</v>
      </c>
      <c r="AC289" s="195" t="n">
        <f aca="false">DEGREES( ACOS( COS(AC$263)  *  SIN( RADIANS($B289 + 90))))</f>
        <v>0</v>
      </c>
      <c r="AD289" s="195" t="n">
        <f aca="false">DEGREES( ACOS( COS(AD$263)  *  SIN( RADIANS($B289 + 90))))</f>
        <v>0</v>
      </c>
      <c r="AE289" s="1"/>
      <c r="AF289" s="1"/>
      <c r="AG289" s="1"/>
      <c r="AH289" s="1"/>
      <c r="AI289" s="1"/>
      <c r="AJ289" s="1"/>
      <c r="AK289" s="1"/>
      <c r="AL289" s="1"/>
    </row>
    <row r="290" customFormat="false" ht="12.75" hidden="false" customHeight="true" outlineLevel="0" collapsed="false">
      <c r="A290" s="192" t="n">
        <f aca="false">RADIANS(MOD(B290-180,-360)+180)</f>
        <v>0</v>
      </c>
      <c r="B290" s="184" t="n">
        <v>0</v>
      </c>
      <c r="C290" s="1"/>
      <c r="D290" s="195" t="n">
        <f aca="false">DEGREES( ACOS( COS(D$263)  *  SIN( RADIANS($B290 + 90))))</f>
        <v>0.0010000000370999</v>
      </c>
      <c r="E290" s="195" t="n">
        <f aca="false">DEGREES( ACOS( COS(E$263)  *  SIN( RADIANS($B290 + 90))))</f>
        <v>15</v>
      </c>
      <c r="F290" s="195" t="n">
        <f aca="false">DEGREES( ACOS( COS(F$263)  *  SIN( RADIANS($B290 + 90))))</f>
        <v>30</v>
      </c>
      <c r="G290" s="195" t="n">
        <f aca="false">DEGREES( ACOS( COS(G$263)  *  SIN( RADIANS($B290 + 90))))</f>
        <v>45</v>
      </c>
      <c r="H290" s="195" t="n">
        <f aca="false">DEGREES( ACOS( COS(H$263)  *  SIN( RADIANS($B290 + 90))))</f>
        <v>60</v>
      </c>
      <c r="I290" s="195" t="n">
        <f aca="false">DEGREES( ACOS( COS(I$263)  *  SIN( RADIANS($B290 + 90))))</f>
        <v>75</v>
      </c>
      <c r="J290" s="195" t="n">
        <f aca="false">DEGREES( ACOS( COS(J$263)  *  SIN( RADIANS($B290 + 90))))</f>
        <v>90</v>
      </c>
      <c r="K290" s="195" t="n">
        <f aca="false">DEGREES( ACOS( COS(K$263)  *  SIN( RADIANS($B290 + 90))))</f>
        <v>105</v>
      </c>
      <c r="L290" s="195" t="n">
        <f aca="false">DEGREES( ACOS( COS(L$263)  *  SIN( RADIANS($B290 + 90))))</f>
        <v>120</v>
      </c>
      <c r="M290" s="195" t="n">
        <f aca="false">DEGREES( ACOS( COS(M$263)  *  SIN( RADIANS($B290 + 90))))</f>
        <v>135</v>
      </c>
      <c r="N290" s="195" t="n">
        <f aca="false">DEGREES( ACOS( COS(N$263)  *  SIN( RADIANS($B290 + 90))))</f>
        <v>150</v>
      </c>
      <c r="O290" s="195" t="n">
        <f aca="false">DEGREES( ACOS( COS(O$263)  *  SIN( RADIANS($B290 + 90))))</f>
        <v>165</v>
      </c>
      <c r="P290" s="195" t="n">
        <f aca="false">DEGREES( ACOS( COS(P$263)  *  SIN( RADIANS($B290 + 90))))</f>
        <v>180</v>
      </c>
      <c r="Q290" s="195" t="n">
        <f aca="false">DEGREES( ACOS( COS(Q$263)  *  SIN( RADIANS($B290 + 90))))</f>
        <v>165</v>
      </c>
      <c r="R290" s="195" t="n">
        <f aca="false">DEGREES( ACOS( COS(R$263)  *  SIN( RADIANS($B290 + 90))))</f>
        <v>150</v>
      </c>
      <c r="S290" s="195" t="n">
        <f aca="false">DEGREES( ACOS( COS(S$263)  *  SIN( RADIANS($B290 + 90))))</f>
        <v>135</v>
      </c>
      <c r="T290" s="195" t="n">
        <f aca="false">DEGREES( ACOS( COS(T$263)  *  SIN( RADIANS($B290 + 90))))</f>
        <v>120</v>
      </c>
      <c r="U290" s="195" t="n">
        <f aca="false">DEGREES( ACOS( COS(U$263)  *  SIN( RADIANS($B290 + 90))))</f>
        <v>105</v>
      </c>
      <c r="V290" s="195" t="n">
        <f aca="false">DEGREES( ACOS( COS(V$263)  *  SIN( RADIANS($B290 + 90))))</f>
        <v>90</v>
      </c>
      <c r="W290" s="195" t="n">
        <f aca="false">DEGREES( ACOS( COS(W$263)  *  SIN( RADIANS($B290 + 90))))</f>
        <v>75</v>
      </c>
      <c r="X290" s="195" t="n">
        <f aca="false">DEGREES( ACOS( COS(X$263)  *  SIN( RADIANS($B290 + 90))))</f>
        <v>60</v>
      </c>
      <c r="Y290" s="195" t="n">
        <f aca="false">DEGREES( ACOS( COS(Y$263)  *  SIN( RADIANS($B290 + 90))))</f>
        <v>45</v>
      </c>
      <c r="Z290" s="195" t="n">
        <f aca="false">DEGREES( ACOS( COS(Z$263)  *  SIN( RADIANS($B290 + 90))))</f>
        <v>30</v>
      </c>
      <c r="AA290" s="195" t="n">
        <f aca="false">DEGREES( ACOS( COS(AA$263)  *  SIN( RADIANS($B290 + 90))))</f>
        <v>15</v>
      </c>
      <c r="AB290" s="195" t="n">
        <f aca="false">DEGREES( ACOS( COS(AB$263)  *  SIN( RADIANS($B290 + 90))))</f>
        <v>0.00999999998265327</v>
      </c>
      <c r="AC290" s="195" t="n">
        <f aca="false">DEGREES( ACOS( COS(AC$263)  *  SIN( RADIANS($B290 + 90))))</f>
        <v>0</v>
      </c>
      <c r="AD290" s="195" t="n">
        <f aca="false">DEGREES( ACOS( COS(AD$263)  *  SIN( RADIANS($B290 + 90))))</f>
        <v>0</v>
      </c>
      <c r="AE290" s="1"/>
      <c r="AF290" s="1"/>
      <c r="AG290" s="1"/>
      <c r="AH290" s="1"/>
      <c r="AI290" s="1"/>
      <c r="AJ290" s="1"/>
      <c r="AK290" s="1"/>
      <c r="AL290" s="1"/>
    </row>
    <row r="291" customFormat="false" ht="12.75" hidden="false" customHeight="tru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customFormat="false" ht="12.75" hidden="false" customHeight="tru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customFormat="false" ht="12.75" hidden="false" customHeight="tru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customFormat="false" ht="12.75" hidden="false" customHeight="tru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customFormat="false" ht="12.75" hidden="false" customHeight="tru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customFormat="false" ht="12.75" hidden="false" customHeight="tru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customFormat="false" ht="12.75" hidden="false" customHeight="true" outlineLevel="0" collapsed="false">
      <c r="A297" s="1"/>
      <c r="B297" s="1"/>
      <c r="C297" s="1"/>
      <c r="D297" s="1"/>
      <c r="E297" s="1"/>
      <c r="F297" s="1"/>
      <c r="G297" s="1"/>
      <c r="H297" s="11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customFormat="false" ht="12.75" hidden="false" customHeight="tru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customFormat="false" ht="12.75" hidden="false" customHeight="true" outlineLevel="0" collapsed="false">
      <c r="A299" s="1"/>
      <c r="B299" s="1"/>
      <c r="C299" s="1"/>
      <c r="D299" s="1"/>
      <c r="E299" s="1"/>
      <c r="F299" s="1"/>
      <c r="G299" s="224"/>
      <c r="H299" s="1"/>
      <c r="I299" s="11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customFormat="false" ht="12.75" hidden="false" customHeight="true" outlineLevel="0" collapsed="false">
      <c r="A300" s="1"/>
      <c r="B300" s="1"/>
      <c r="C300" s="1"/>
      <c r="D300" s="1"/>
      <c r="E300" s="1"/>
      <c r="F300" s="1"/>
      <c r="G300" s="224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customFormat="false" ht="12.75" hidden="false" customHeight="true" outlineLevel="0" collapsed="false">
      <c r="A301" s="163"/>
      <c r="B301" s="1"/>
      <c r="C301" s="1"/>
      <c r="D301" s="1"/>
      <c r="E301" s="1"/>
      <c r="F301" s="1"/>
      <c r="G301" s="1"/>
      <c r="H301" s="53"/>
      <c r="I301" s="53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customFormat="false" ht="12.75" hidden="false" customHeight="true" outlineLevel="0" collapsed="false">
      <c r="A302" s="163"/>
      <c r="B302" s="1"/>
      <c r="C302" s="1"/>
      <c r="D302" s="1"/>
      <c r="E302" s="1"/>
      <c r="F302" s="1"/>
      <c r="G302" s="228"/>
      <c r="H302" s="1"/>
      <c r="I302" s="53"/>
      <c r="J302" s="1"/>
      <c r="K302" s="1"/>
      <c r="L302" s="1"/>
      <c r="M302" s="1"/>
      <c r="N302" s="53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customFormat="false" ht="12.75" hidden="false" customHeight="true" outlineLevel="0" collapsed="false">
      <c r="A303" s="1"/>
      <c r="B303" s="1"/>
      <c r="C303" s="1"/>
      <c r="D303" s="1"/>
      <c r="E303" s="1"/>
      <c r="F303" s="1"/>
      <c r="G303" s="164"/>
      <c r="H303" s="1"/>
      <c r="I303" s="53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customFormat="false" ht="23.8" hidden="false" customHeight="true" outlineLevel="0" collapsed="false">
      <c r="A304" s="1"/>
      <c r="B304" s="1"/>
      <c r="C304" s="229" t="s">
        <v>245</v>
      </c>
      <c r="D304" s="230"/>
      <c r="E304" s="231"/>
      <c r="F304" s="1"/>
      <c r="G304" s="1"/>
      <c r="H304" s="1"/>
      <c r="I304" s="53"/>
      <c r="J304" s="117"/>
      <c r="K304" s="16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customFormat="false" ht="23.8" hidden="false" customHeight="true" outlineLevel="0" collapsed="false">
      <c r="A305" s="1"/>
      <c r="B305" s="1"/>
      <c r="C305" s="170"/>
      <c r="D305" s="170"/>
      <c r="E305" s="170"/>
      <c r="F305" s="171"/>
      <c r="G305" s="171"/>
      <c r="H305" s="171"/>
      <c r="I305" s="171"/>
      <c r="J305" s="171"/>
      <c r="K305" s="171"/>
      <c r="L305" s="170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customFormat="false" ht="23.8" hidden="false" customHeight="true" outlineLevel="0" collapsed="false">
      <c r="A306" s="172" t="s">
        <v>163</v>
      </c>
      <c r="B306" s="1"/>
      <c r="C306" s="173"/>
      <c r="D306" s="170"/>
      <c r="E306" s="174" t="s">
        <v>164</v>
      </c>
      <c r="F306" s="171"/>
      <c r="G306" s="171"/>
      <c r="H306" s="175" t="s">
        <v>165</v>
      </c>
      <c r="I306" s="171"/>
      <c r="J306" s="171"/>
      <c r="K306" s="170"/>
      <c r="L306" s="170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customFormat="false" ht="23.8" hidden="false" customHeight="true" outlineLevel="0" collapsed="false">
      <c r="A307" s="172" t="s">
        <v>166</v>
      </c>
      <c r="B307" s="1"/>
      <c r="C307" s="173"/>
      <c r="D307" s="173"/>
      <c r="E307" s="170"/>
      <c r="F307" s="171"/>
      <c r="G307" s="176" t="s">
        <v>246</v>
      </c>
      <c r="H307" s="170"/>
      <c r="I307" s="170"/>
      <c r="J307" s="170"/>
      <c r="K307" s="170"/>
      <c r="L307" s="170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customFormat="false" ht="23.8" hidden="false" customHeight="true" outlineLevel="0" collapsed="false">
      <c r="A308" s="1"/>
      <c r="B308" s="1"/>
      <c r="C308" s="170"/>
      <c r="D308" s="173"/>
      <c r="E308" s="177" t="s">
        <v>247</v>
      </c>
      <c r="F308" s="171"/>
      <c r="G308" s="170"/>
      <c r="H308" s="170"/>
      <c r="I308" s="170"/>
      <c r="J308" s="170"/>
      <c r="K308" s="170"/>
      <c r="L308" s="170"/>
      <c r="M308" s="1"/>
      <c r="N308" s="232" t="s">
        <v>248</v>
      </c>
      <c r="O308" s="1"/>
      <c r="P308" s="1"/>
      <c r="Q308" s="1"/>
      <c r="R308" s="233" t="s">
        <v>249</v>
      </c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customFormat="false" ht="23.8" hidden="false" customHeight="true" outlineLevel="0" collapsed="false">
      <c r="A309" s="1"/>
      <c r="B309" s="1"/>
      <c r="C309" s="170"/>
      <c r="D309" s="170"/>
      <c r="E309" s="170"/>
      <c r="F309" s="170"/>
      <c r="G309" s="170"/>
      <c r="H309" s="170"/>
      <c r="I309" s="170"/>
      <c r="J309" s="170"/>
      <c r="K309" s="170"/>
      <c r="L309" s="170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customFormat="false" ht="23.8" hidden="false" customHeight="true" outlineLevel="0" collapsed="false">
      <c r="A310" s="1"/>
      <c r="B310" s="1"/>
      <c r="C310" s="170"/>
      <c r="D310" s="173"/>
      <c r="E310" s="170"/>
      <c r="F310" s="170"/>
      <c r="G310" s="170"/>
      <c r="H310" s="170"/>
      <c r="I310" s="170"/>
      <c r="J310" s="170"/>
      <c r="K310" s="170"/>
      <c r="L310" s="170"/>
      <c r="M310" s="1"/>
      <c r="N310" s="18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customFormat="false" ht="19.3" hidden="false" customHeight="true" outlineLevel="0" collapsed="false">
      <c r="A311" s="1"/>
      <c r="B311" s="1"/>
      <c r="C311" s="1"/>
      <c r="D311" s="1"/>
      <c r="E311" s="131"/>
      <c r="F311" s="131"/>
      <c r="G311" s="131"/>
      <c r="H311" s="131"/>
      <c r="I311" s="1"/>
      <c r="J311" s="1"/>
      <c r="K311" s="1"/>
      <c r="L311" s="1"/>
      <c r="M311" s="1"/>
      <c r="N311" s="1"/>
      <c r="O311" s="1"/>
      <c r="P311" s="1"/>
      <c r="Q311" s="182" t="n">
        <v>195</v>
      </c>
      <c r="R311" s="182" t="n">
        <v>210</v>
      </c>
      <c r="S311" s="182" t="n">
        <v>225</v>
      </c>
      <c r="T311" s="182" t="n">
        <v>240</v>
      </c>
      <c r="U311" s="182" t="n">
        <v>255</v>
      </c>
      <c r="V311" s="182" t="n">
        <v>270</v>
      </c>
      <c r="W311" s="182" t="n">
        <v>285</v>
      </c>
      <c r="X311" s="182" t="n">
        <v>300</v>
      </c>
      <c r="Y311" s="182" t="n">
        <v>315</v>
      </c>
      <c r="Z311" s="182" t="n">
        <v>330</v>
      </c>
      <c r="AA311" s="182" t="n">
        <v>345</v>
      </c>
      <c r="AB311" s="183" t="n">
        <v>359.99</v>
      </c>
      <c r="AC311" s="184" t="n">
        <v>360</v>
      </c>
      <c r="AD311" s="185" t="s">
        <v>169</v>
      </c>
      <c r="AE311" s="1"/>
      <c r="AF311" s="1"/>
      <c r="AG311" s="1"/>
      <c r="AH311" s="1"/>
      <c r="AI311" s="1"/>
      <c r="AJ311" s="1"/>
      <c r="AK311" s="1"/>
      <c r="AL311" s="1"/>
    </row>
    <row r="312" customFormat="false" ht="19.3" hidden="false" customHeight="true" outlineLevel="0" collapsed="false">
      <c r="A312" s="1"/>
      <c r="B312" s="186"/>
      <c r="C312" s="187" t="s">
        <v>171</v>
      </c>
      <c r="D312" s="188" t="n">
        <v>0.001</v>
      </c>
      <c r="E312" s="182" t="n">
        <v>15</v>
      </c>
      <c r="F312" s="182" t="n">
        <v>30</v>
      </c>
      <c r="G312" s="182" t="n">
        <v>45</v>
      </c>
      <c r="H312" s="182" t="n">
        <v>60</v>
      </c>
      <c r="I312" s="182" t="n">
        <v>75</v>
      </c>
      <c r="J312" s="182" t="n">
        <v>90</v>
      </c>
      <c r="K312" s="182" t="n">
        <v>105</v>
      </c>
      <c r="L312" s="182" t="n">
        <v>120</v>
      </c>
      <c r="M312" s="182" t="n">
        <v>135</v>
      </c>
      <c r="N312" s="182" t="n">
        <v>150</v>
      </c>
      <c r="O312" s="182" t="n">
        <v>165</v>
      </c>
      <c r="P312" s="182" t="n">
        <v>180</v>
      </c>
      <c r="Q312" s="189" t="n">
        <v>-165</v>
      </c>
      <c r="R312" s="189" t="n">
        <v>-150</v>
      </c>
      <c r="S312" s="189" t="n">
        <v>-135</v>
      </c>
      <c r="T312" s="189" t="n">
        <v>-120</v>
      </c>
      <c r="U312" s="189" t="n">
        <v>-105</v>
      </c>
      <c r="V312" s="189" t="n">
        <v>-90</v>
      </c>
      <c r="W312" s="189" t="n">
        <v>-75</v>
      </c>
      <c r="X312" s="189" t="n">
        <v>-60</v>
      </c>
      <c r="Y312" s="189" t="n">
        <v>-45</v>
      </c>
      <c r="Z312" s="189" t="n">
        <v>-30</v>
      </c>
      <c r="AA312" s="189" t="n">
        <v>-15</v>
      </c>
      <c r="AB312" s="183" t="n">
        <v>-0.01</v>
      </c>
      <c r="AC312" s="184" t="n">
        <v>0</v>
      </c>
      <c r="AD312" s="184" t="n">
        <v>0</v>
      </c>
      <c r="AE312" s="1"/>
      <c r="AF312" s="1"/>
      <c r="AG312" s="1"/>
      <c r="AH312" s="1"/>
      <c r="AI312" s="1"/>
      <c r="AJ312" s="1"/>
      <c r="AK312" s="1"/>
      <c r="AL312" s="1"/>
    </row>
    <row r="313" customFormat="false" ht="19.3" hidden="false" customHeight="true" outlineLevel="0" collapsed="false">
      <c r="A313" s="190"/>
      <c r="B313" s="191" t="s">
        <v>173</v>
      </c>
      <c r="C313" s="1"/>
      <c r="D313" s="192" t="n">
        <f aca="false">RADIANS(MOD(D312-180,-360)+180)</f>
        <v>1.74532925200266E-005</v>
      </c>
      <c r="E313" s="192" t="n">
        <f aca="false">RADIANS(MOD(E312-180,-360)+180)</f>
        <v>0.261799387799149</v>
      </c>
      <c r="F313" s="192" t="n">
        <f aca="false">RADIANS(MOD(F312-180,-360)+180)</f>
        <v>0.523598775598299</v>
      </c>
      <c r="G313" s="192" t="n">
        <f aca="false">RADIANS(MOD(G312-180,-360)+180)</f>
        <v>0.785398163397448</v>
      </c>
      <c r="H313" s="192" t="n">
        <f aca="false">RADIANS(MOD(H312-180,-360)+180)</f>
        <v>1.0471975511966</v>
      </c>
      <c r="I313" s="192" t="n">
        <f aca="false">RADIANS(MOD(I312-180,-360)+180)</f>
        <v>1.30899693899575</v>
      </c>
      <c r="J313" s="192" t="n">
        <f aca="false">RADIANS(MOD(J312-180,-360)+180)</f>
        <v>1.5707963267949</v>
      </c>
      <c r="K313" s="192" t="n">
        <f aca="false">RADIANS(MOD(K312-180,-360)+180)</f>
        <v>1.83259571459405</v>
      </c>
      <c r="L313" s="192" t="n">
        <f aca="false">RADIANS(MOD(L312-180,-360)+180)</f>
        <v>2.0943951023932</v>
      </c>
      <c r="M313" s="192" t="n">
        <f aca="false">RADIANS(MOD(M312-180,-360)+180)</f>
        <v>2.35619449019234</v>
      </c>
      <c r="N313" s="192" t="n">
        <f aca="false">RADIANS(MOD(N312-180,-360)+180)</f>
        <v>2.61799387799149</v>
      </c>
      <c r="O313" s="192" t="n">
        <f aca="false">RADIANS(MOD(O312-180,-360)+180)</f>
        <v>2.87979326579064</v>
      </c>
      <c r="P313" s="192" t="n">
        <f aca="false">RADIANS(MOD(P312-180,-360)+180)</f>
        <v>3.14159265358979</v>
      </c>
      <c r="Q313" s="193" t="n">
        <f aca="false">RADIANS(MOD(Q312-180,-360)+180)</f>
        <v>-2.87979326579064</v>
      </c>
      <c r="R313" s="193" t="n">
        <f aca="false">RADIANS(MOD(R312-180,-360)+180)</f>
        <v>-2.61799387799149</v>
      </c>
      <c r="S313" s="193" t="n">
        <f aca="false">RADIANS(MOD(S312-180,-360)+180)</f>
        <v>-2.35619449019234</v>
      </c>
      <c r="T313" s="193" t="n">
        <f aca="false">RADIANS(MOD(T312-180,-360)+180)</f>
        <v>-2.0943951023932</v>
      </c>
      <c r="U313" s="193" t="n">
        <f aca="false">RADIANS(MOD(U312-180,-360)+180)</f>
        <v>-1.83259571459405</v>
      </c>
      <c r="V313" s="193" t="n">
        <f aca="false">RADIANS(MOD(V312-180,-360)+180)</f>
        <v>-1.5707963267949</v>
      </c>
      <c r="W313" s="193" t="n">
        <f aca="false">RADIANS(MOD(W312-180,-360)+180)</f>
        <v>-1.30899693899575</v>
      </c>
      <c r="X313" s="193" t="n">
        <f aca="false">RADIANS(MOD(X312-180,-360)+180)</f>
        <v>-1.0471975511966</v>
      </c>
      <c r="Y313" s="193" t="n">
        <f aca="false">RADIANS(MOD(Y312-180,-360)+180)</f>
        <v>-0.785398163397448</v>
      </c>
      <c r="Z313" s="193" t="n">
        <f aca="false">RADIANS(MOD(Z312-180,-360)+180)</f>
        <v>-0.523598775598299</v>
      </c>
      <c r="AA313" s="193" t="n">
        <f aca="false">RADIANS(MOD(AA312-180,-360)+180)</f>
        <v>-0.261799387799149</v>
      </c>
      <c r="AB313" s="193" t="n">
        <f aca="false">RADIANS(MOD(AB312-180,-360)+180)</f>
        <v>-0.000174532925199274</v>
      </c>
      <c r="AC313" s="193" t="n">
        <f aca="false">RADIANS(MOD(AC312-180,-360)+180)</f>
        <v>0</v>
      </c>
      <c r="AD313" s="193" t="n">
        <f aca="false">RADIANS(MOD(AD312-180,-360)+180)</f>
        <v>0</v>
      </c>
      <c r="AE313" s="1"/>
      <c r="AF313" s="1"/>
      <c r="AG313" s="1"/>
      <c r="AH313" s="1"/>
      <c r="AI313" s="1"/>
      <c r="AJ313" s="1"/>
      <c r="AK313" s="1"/>
      <c r="AL313" s="1"/>
    </row>
    <row r="314" customFormat="false" ht="12.75" hidden="false" customHeight="true" outlineLevel="0" collapsed="false">
      <c r="A314" s="192" t="n">
        <f aca="false">RADIANS(MOD(B314-180,-360)+180)</f>
        <v>1.74532925200266E-005</v>
      </c>
      <c r="B314" s="188" t="n">
        <v>0.001</v>
      </c>
      <c r="C314" s="1"/>
      <c r="D314" s="234" t="n">
        <f aca="false">DEGREES(_xlfn.ACOT( SIGN( ( COS(D$313)  *  COS($A314)))  /  SQRT(  ( TAN(D$313))^2   +  ( _xlfn.SEC(D$313)  *  TAN($A314))^2  )))</f>
        <v>0.00141421356234477</v>
      </c>
      <c r="E314" s="234" t="n">
        <f aca="false">DEGREES(_xlfn.ACOT( SIGN( ( COS(E$313)  *  COS($A314)))  /  SQRT(  ( TAN(E$313))^2   +  ( _xlfn.SEC(E$313)  *  TAN($A314))^2  )))</f>
        <v>15.0000000325683</v>
      </c>
      <c r="F314" s="234" t="n">
        <f aca="false">DEGREES(_xlfn.ACOT( SIGN( ( COS(F$313)  *  COS($A314)))  /  SQRT(  ( TAN(F$313))^2   +  ( _xlfn.SEC(F$313)  *  TAN($A314))^2  )))</f>
        <v>30.000000015115</v>
      </c>
      <c r="G314" s="234" t="n">
        <f aca="false">DEGREES(_xlfn.ACOT( SIGN( ( COS(G$313)  *  COS($A314)))  /  SQRT(  ( TAN(G$313))^2   +  ( _xlfn.SEC(G$313)  *  TAN($A314))^2  )))</f>
        <v>45.0000000087266</v>
      </c>
      <c r="H314" s="234" t="n">
        <f aca="false">DEGREES(_xlfn.ACOT( SIGN( ( COS(H$313)  *  COS($A314)))  /  SQRT(  ( TAN(H$313))^2   +  ( _xlfn.SEC(H$313)  *  TAN($A314))^2  )))</f>
        <v>60.0000000050383</v>
      </c>
      <c r="I314" s="234" t="n">
        <f aca="false">DEGREES(_xlfn.ACOT( SIGN( ( COS(I$313)  *  COS($A314)))  /  SQRT(  ( TAN(I$313))^2   +  ( _xlfn.SEC(I$313)  *  TAN($A314))^2  )))</f>
        <v>75.0000000023383</v>
      </c>
      <c r="J314" s="234" t="n">
        <f aca="false">DEGREES(_xlfn.ACOT( SIGN( ( COS(J$313)  *  COS($A314)))  /  SQRT(  ( TAN(J$313))^2   +  ( _xlfn.SEC(J$313)  *  TAN($A314))^2  )))</f>
        <v>90</v>
      </c>
      <c r="K314" s="234" t="n">
        <f aca="false">DEGREES(_xlfn.ACOT( SIGN( ( COS(K$313)  *  COS($A314)))  /  SQRT(  ( TAN(K$313))^2   +  ( _xlfn.SEC(K$313)  *  TAN($A314))^2  )))</f>
        <v>104.999999997662</v>
      </c>
      <c r="L314" s="234" t="n">
        <f aca="false">DEGREES(_xlfn.ACOT( SIGN( ( COS(L$313)  *  COS($A314)))  /  SQRT(  ( TAN(L$313))^2   +  ( _xlfn.SEC(L$313)  *  TAN($A314))^2  )))</f>
        <v>119.999999994962</v>
      </c>
      <c r="M314" s="234" t="n">
        <f aca="false">DEGREES(_xlfn.ACOT( SIGN( ( COS(M$313)  *  COS($A314)))  /  SQRT(  ( TAN(M$313))^2   +  ( _xlfn.SEC(M$313)  *  TAN($A314))^2  )))</f>
        <v>134.999999991273</v>
      </c>
      <c r="N314" s="234" t="n">
        <f aca="false">DEGREES(_xlfn.ACOT( SIGN( ( COS(N$313)  *  COS($A314)))  /  SQRT(  ( TAN(N$313))^2   +  ( _xlfn.SEC(N$313)  *  TAN($A314))^2  )))</f>
        <v>149.999999984885</v>
      </c>
      <c r="O314" s="234" t="n">
        <f aca="false">DEGREES(_xlfn.ACOT( SIGN( ( COS(O$313)  *  COS($A314)))  /  SQRT(  ( TAN(O$313))^2   +  ( _xlfn.SEC(O$313)  *  TAN($A314))^2  )))</f>
        <v>164.999999967432</v>
      </c>
      <c r="P314" s="234" t="n">
        <f aca="false">DEGREES(_xlfn.ACOT( SIGN( ( COS(P$313)  *  COS($A314)))  /  SQRT(  ( TAN(P$313))^2   +  ( _xlfn.SEC(P$313)  *  TAN($A314))^2  )))</f>
        <v>179.999</v>
      </c>
      <c r="Q314" s="234" t="n">
        <f aca="false">DEGREES(_xlfn.ACOT( SIGN( ( COS(Q$313)  *  COS($A314)))  /  SQRT(  ( TAN(Q$313))^2   +  ( _xlfn.SEC(Q$313)  *  TAN($A314))^2  )))</f>
        <v>164.999999967432</v>
      </c>
      <c r="R314" s="234" t="n">
        <f aca="false">DEGREES(_xlfn.ACOT( SIGN( ( COS(R$313)  *  COS($A314)))  /  SQRT(  ( TAN(R$313))^2   +  ( _xlfn.SEC(R$313)  *  TAN($A314))^2  )))</f>
        <v>149.999999984885</v>
      </c>
      <c r="S314" s="234" t="n">
        <f aca="false">DEGREES(_xlfn.ACOT( SIGN( ( COS(S$313)  *  COS($A314)))  /  SQRT(  ( TAN(S$313))^2   +  ( _xlfn.SEC(S$313)  *  TAN($A314))^2  )))</f>
        <v>134.999999991273</v>
      </c>
      <c r="T314" s="234" t="n">
        <f aca="false">DEGREES(_xlfn.ACOT( SIGN( ( COS(T$313)  *  COS($A314)))  /  SQRT(  ( TAN(T$313))^2   +  ( _xlfn.SEC(T$313)  *  TAN($A314))^2  )))</f>
        <v>119.999999994962</v>
      </c>
      <c r="U314" s="234" t="n">
        <f aca="false">DEGREES(_xlfn.ACOT( SIGN( ( COS(U$313)  *  COS($A314)))  /  SQRT(  ( TAN(U$313))^2   +  ( _xlfn.SEC(U$313)  *  TAN($A314))^2  )))</f>
        <v>104.999999997662</v>
      </c>
      <c r="V314" s="234" t="n">
        <f aca="false">DEGREES(_xlfn.ACOT( SIGN( ( COS(V$313)  *  COS($A314)))  /  SQRT(  ( TAN(V$313))^2   +  ( _xlfn.SEC(V$313)  *  TAN($A314))^2  )))</f>
        <v>90</v>
      </c>
      <c r="W314" s="234" t="n">
        <f aca="false">DEGREES(_xlfn.ACOT( SIGN( ( COS(W$313)  *  COS($A314)))  /  SQRT(  ( TAN(W$313))^2   +  ( _xlfn.SEC(W$313)  *  TAN($A314))^2  )))</f>
        <v>75.0000000023383</v>
      </c>
      <c r="X314" s="234" t="n">
        <f aca="false">DEGREES(_xlfn.ACOT( SIGN( ( COS(X$313)  *  COS($A314)))  /  SQRT(  ( TAN(X$313))^2   +  ( _xlfn.SEC(X$313)  *  TAN($A314))^2  )))</f>
        <v>60.0000000050383</v>
      </c>
      <c r="Y314" s="234" t="n">
        <f aca="false">DEGREES(_xlfn.ACOT( SIGN( ( COS(Y$313)  *  COS($A314)))  /  SQRT(  ( TAN(Y$313))^2   +  ( _xlfn.SEC(Y$313)  *  TAN($A314))^2  )))</f>
        <v>45.0000000087266</v>
      </c>
      <c r="Z314" s="234" t="n">
        <f aca="false">DEGREES(_xlfn.ACOT( SIGN( ( COS(Z$313)  *  COS($A314)))  /  SQRT(  ( TAN(Z$313))^2   +  ( _xlfn.SEC(Z$313)  *  TAN($A314))^2  )))</f>
        <v>30.000000015115</v>
      </c>
      <c r="AA314" s="234" t="n">
        <f aca="false">DEGREES(_xlfn.ACOT( SIGN( ( COS(AA$313)  *  COS($A314)))  /  SQRT(  ( TAN(AA$313))^2   +  ( _xlfn.SEC(AA$313)  *  TAN($A314))^2  )))</f>
        <v>15.0000000325683</v>
      </c>
      <c r="AB314" s="234" t="n">
        <f aca="false">DEGREES(_xlfn.ACOT( SIGN( ( COS(AB$313)  *  COS($A314)))  /  SQRT(  ( TAN(AB$313))^2   +  ( _xlfn.SEC(AB$313)  *  TAN($A314))^2  )))</f>
        <v>0.0100498756205988</v>
      </c>
      <c r="AC314" s="195" t="n">
        <f aca="false">DEGREES(_xlfn.ACOT( SIGN( ( COS(AC$313)  *  COS($A314)))  /  SQRT(  ( TAN(AC$313))^2   +  ( _xlfn.SEC(AC$313)  *  TAN($A314))^2  )))</f>
        <v>0.000999999999997393</v>
      </c>
      <c r="AD314" s="195" t="n">
        <f aca="false">DEGREES(_xlfn.ACOT( SIGN( ( COS(AD$313)  *  COS($A314)))  /  SQRT(  ( TAN(AD$313))^2   +  ( _xlfn.SEC(AD$313)  *  TAN($A314))^2  )))</f>
        <v>0.000999999999997393</v>
      </c>
      <c r="AE314" s="1"/>
      <c r="AF314" s="1"/>
      <c r="AG314" s="1"/>
      <c r="AH314" s="1"/>
      <c r="AI314" s="1"/>
      <c r="AJ314" s="1"/>
      <c r="AK314" s="1"/>
      <c r="AL314" s="1"/>
    </row>
    <row r="315" customFormat="false" ht="12.75" hidden="false" customHeight="true" outlineLevel="0" collapsed="false">
      <c r="A315" s="192" t="n">
        <f aca="false">RADIANS(MOD(B315-180,-360)+180)</f>
        <v>0.261799387799149</v>
      </c>
      <c r="B315" s="182" t="n">
        <v>15</v>
      </c>
      <c r="C315" s="1"/>
      <c r="D315" s="234" t="n">
        <f aca="false">DEGREES(_xlfn.ACOT( SIGN( ( COS(D$313)  *  COS($A315)))  /  SQRT(  ( TAN(D$313))^2   +  ( _xlfn.SEC(D$313)  *  TAN($A315))^2  )))</f>
        <v>15.0000000325683</v>
      </c>
      <c r="E315" s="210" t="n">
        <f aca="false">DEGREES(_xlfn.ACOT( SIGN( ( COS(E$313)  *  COS($A315)))  /  SQRT(  ( TAN(E$313))^2   +  ( _xlfn.SEC(E$313)  *  TAN($A315))^2  )))</f>
        <v>21.0905811789991</v>
      </c>
      <c r="F315" s="210" t="n">
        <f aca="false">DEGREES(_xlfn.ACOT( SIGN( ( COS(F$313)  *  COS($A315)))  /  SQRT(  ( TAN(F$313))^2   +  ( _xlfn.SEC(F$313)  *  TAN($A315))^2  )))</f>
        <v>33.2259422032876</v>
      </c>
      <c r="G315" s="210" t="n">
        <f aca="false">DEGREES(_xlfn.ACOT( SIGN( ( COS(G$313)  *  COS($A315)))  /  SQRT(  ( TAN(G$313))^2   +  ( _xlfn.SEC(G$313)  *  TAN($A315))^2  )))</f>
        <v>46.9204828581291</v>
      </c>
      <c r="H315" s="210" t="n">
        <f aca="false">DEGREES(_xlfn.ACOT( SIGN( ( COS(H$313)  *  COS($A315)))  /  SQRT(  ( TAN(H$313))^2   +  ( _xlfn.SEC(H$313)  *  TAN($A315))^2  )))</f>
        <v>61.1209059825724</v>
      </c>
      <c r="I315" s="210" t="n">
        <f aca="false">DEGREES(_xlfn.ACOT( SIGN( ( COS(I$313)  *  COS($A315)))  /  SQRT(  ( TAN(I$313))^2   +  ( _xlfn.SEC(I$313)  *  TAN($A315))^2  )))</f>
        <v>75.5224878140701</v>
      </c>
      <c r="J315" s="234" t="n">
        <f aca="false">DEGREES(_xlfn.ACOT( SIGN( ( COS(J$313)  *  COS($A315)))  /  SQRT(  ( TAN(J$313))^2   +  ( _xlfn.SEC(J$313)  *  TAN($A315))^2  )))</f>
        <v>90</v>
      </c>
      <c r="K315" s="210" t="n">
        <f aca="false">DEGREES(_xlfn.ACOT( SIGN( ( COS(K$313)  *  COS($A315)))  /  SQRT(  ( TAN(K$313))^2   +  ( _xlfn.SEC(K$313)  *  TAN($A315))^2  )))</f>
        <v>104.47751218593</v>
      </c>
      <c r="L315" s="210" t="n">
        <f aca="false">DEGREES(_xlfn.ACOT( SIGN( ( COS(L$313)  *  COS($A315)))  /  SQRT(  ( TAN(L$313))^2   +  ( _xlfn.SEC(L$313)  *  TAN($A315))^2  )))</f>
        <v>118.879094017428</v>
      </c>
      <c r="M315" s="210" t="n">
        <f aca="false">DEGREES(_xlfn.ACOT( SIGN( ( COS(M$313)  *  COS($A315)))  /  SQRT(  ( TAN(M$313))^2   +  ( _xlfn.SEC(M$313)  *  TAN($A315))^2  )))</f>
        <v>133.079517141871</v>
      </c>
      <c r="N315" s="210" t="n">
        <f aca="false">DEGREES(_xlfn.ACOT( SIGN( ( COS(N$313)  *  COS($A315)))  /  SQRT(  ( TAN(N$313))^2   +  ( _xlfn.SEC(N$313)  *  TAN($A315))^2  )))</f>
        <v>146.774057796712</v>
      </c>
      <c r="O315" s="210" t="n">
        <f aca="false">DEGREES(_xlfn.ACOT( SIGN( ( COS(O$313)  *  COS($A315)))  /  SQRT(  ( TAN(O$313))^2   +  ( _xlfn.SEC(O$313)  *  TAN($A315))^2  )))</f>
        <v>158.909418821001</v>
      </c>
      <c r="P315" s="234" t="n">
        <f aca="false">DEGREES(_xlfn.ACOT( SIGN( ( COS(P$313)  *  COS($A315)))  /  SQRT(  ( TAN(P$313))^2   +  ( _xlfn.SEC(P$313)  *  TAN($A315))^2  )))</f>
        <v>165</v>
      </c>
      <c r="Q315" s="210" t="n">
        <f aca="false">DEGREES(_xlfn.ACOT( SIGN( ( COS(Q$313)  *  COS($A315)))  /  SQRT(  ( TAN(Q$313))^2   +  ( _xlfn.SEC(Q$313)  *  TAN($A315))^2  )))</f>
        <v>158.909418821001</v>
      </c>
      <c r="R315" s="210" t="n">
        <f aca="false">DEGREES(_xlfn.ACOT( SIGN( ( COS(R$313)  *  COS($A315)))  /  SQRT(  ( TAN(R$313))^2   +  ( _xlfn.SEC(R$313)  *  TAN($A315))^2  )))</f>
        <v>146.774057796712</v>
      </c>
      <c r="S315" s="210" t="n">
        <f aca="false">DEGREES(_xlfn.ACOT( SIGN( ( COS(S$313)  *  COS($A315)))  /  SQRT(  ( TAN(S$313))^2   +  ( _xlfn.SEC(S$313)  *  TAN($A315))^2  )))</f>
        <v>133.079517141871</v>
      </c>
      <c r="T315" s="210" t="n">
        <f aca="false">DEGREES(_xlfn.ACOT( SIGN( ( COS(T$313)  *  COS($A315)))  /  SQRT(  ( TAN(T$313))^2   +  ( _xlfn.SEC(T$313)  *  TAN($A315))^2  )))</f>
        <v>118.879094017428</v>
      </c>
      <c r="U315" s="210" t="n">
        <f aca="false">DEGREES(_xlfn.ACOT( SIGN( ( COS(U$313)  *  COS($A315)))  /  SQRT(  ( TAN(U$313))^2   +  ( _xlfn.SEC(U$313)  *  TAN($A315))^2  )))</f>
        <v>104.47751218593</v>
      </c>
      <c r="V315" s="234" t="n">
        <f aca="false">DEGREES(_xlfn.ACOT( SIGN( ( COS(V$313)  *  COS($A315)))  /  SQRT(  ( TAN(V$313))^2   +  ( _xlfn.SEC(V$313)  *  TAN($A315))^2  )))</f>
        <v>90</v>
      </c>
      <c r="W315" s="210" t="n">
        <f aca="false">DEGREES(_xlfn.ACOT( SIGN( ( COS(W$313)  *  COS($A315)))  /  SQRT(  ( TAN(W$313))^2   +  ( _xlfn.SEC(W$313)  *  TAN($A315))^2  )))</f>
        <v>75.5224878140701</v>
      </c>
      <c r="X315" s="210" t="n">
        <f aca="false">DEGREES(_xlfn.ACOT( SIGN( ( COS(X$313)  *  COS($A315)))  /  SQRT(  ( TAN(X$313))^2   +  ( _xlfn.SEC(X$313)  *  TAN($A315))^2  )))</f>
        <v>61.1209059825724</v>
      </c>
      <c r="Y315" s="210" t="n">
        <f aca="false">DEGREES(_xlfn.ACOT( SIGN( ( COS(Y$313)  *  COS($A315)))  /  SQRT(  ( TAN(Y$313))^2   +  ( _xlfn.SEC(Y$313)  *  TAN($A315))^2  )))</f>
        <v>46.9204828581291</v>
      </c>
      <c r="Z315" s="210" t="n">
        <f aca="false">DEGREES(_xlfn.ACOT( SIGN( ( COS(Z$313)  *  COS($A315)))  /  SQRT(  ( TAN(Z$313))^2   +  ( _xlfn.SEC(Z$313)  *  TAN($A315))^2  )))</f>
        <v>33.2259422032876</v>
      </c>
      <c r="AA315" s="210" t="n">
        <f aca="false">DEGREES(_xlfn.ACOT( SIGN( ( COS(AA$313)  *  COS($A315)))  /  SQRT(  ( TAN(AA$313))^2   +  ( _xlfn.SEC(AA$313)  *  TAN($A315))^2  )))</f>
        <v>21.0905811789991</v>
      </c>
      <c r="AB315" s="234" t="n">
        <f aca="false">DEGREES(_xlfn.ACOT( SIGN( ( COS(AB$313)  *  COS($A315)))  /  SQRT(  ( TAN(AB$313))^2   +  ( _xlfn.SEC(AB$313)  *  TAN($A315))^2  )))</f>
        <v>15.0000032568284</v>
      </c>
      <c r="AC315" s="195" t="n">
        <f aca="false">DEGREES(_xlfn.ACOT( SIGN( ( COS(AC$313)  *  COS($A315)))  /  SQRT(  ( TAN(AC$313))^2   +  ( _xlfn.SEC(AC$313)  *  TAN($A315))^2  )))</f>
        <v>15</v>
      </c>
      <c r="AD315" s="195" t="n">
        <f aca="false">DEGREES(_xlfn.ACOT( SIGN( ( COS(AD$313)  *  COS($A315)))  /  SQRT(  ( TAN(AD$313))^2   +  ( _xlfn.SEC(AD$313)  *  TAN($A315))^2  )))</f>
        <v>15</v>
      </c>
      <c r="AE315" s="1"/>
      <c r="AF315" s="1"/>
      <c r="AG315" s="1"/>
      <c r="AH315" s="1"/>
      <c r="AI315" s="1"/>
      <c r="AJ315" s="1"/>
      <c r="AK315" s="1"/>
      <c r="AL315" s="1"/>
    </row>
    <row r="316" customFormat="false" ht="12.75" hidden="false" customHeight="true" outlineLevel="0" collapsed="false">
      <c r="A316" s="192" t="n">
        <f aca="false">RADIANS(MOD(B316-180,-360)+180)</f>
        <v>0.523598775598299</v>
      </c>
      <c r="B316" s="182" t="n">
        <v>30</v>
      </c>
      <c r="C316" s="1"/>
      <c r="D316" s="234" t="n">
        <f aca="false">DEGREES(_xlfn.ACOT( SIGN( ( COS(D$313)  *  COS($A316)))  /  SQRT(  ( TAN(D$313))^2   +  ( _xlfn.SEC(D$313)  *  TAN($A316))^2  )))</f>
        <v>30.000000015115</v>
      </c>
      <c r="E316" s="210" t="n">
        <f aca="false">DEGREES(_xlfn.ACOT( SIGN( ( COS(E$313)  *  COS($A316)))  /  SQRT(  ( TAN(E$313))^2   +  ( _xlfn.SEC(E$313)  *  TAN($A316))^2  )))</f>
        <v>33.2259422032876</v>
      </c>
      <c r="F316" s="210" t="n">
        <f aca="false">DEGREES(_xlfn.ACOT( SIGN( ( COS(F$313)  *  COS($A316)))  /  SQRT(  ( TAN(F$313))^2   +  ( _xlfn.SEC(F$313)  *  TAN($A316))^2  )))</f>
        <v>41.4096221092709</v>
      </c>
      <c r="G316" s="210" t="n">
        <f aca="false">DEGREES(_xlfn.ACOT( SIGN( ( COS(G$313)  *  COS($A316)))  /  SQRT(  ( TAN(G$313))^2   +  ( _xlfn.SEC(G$313)  *  TAN($A316))^2  )))</f>
        <v>52.238756092965</v>
      </c>
      <c r="H316" s="210" t="n">
        <f aca="false">DEGREES(_xlfn.ACOT( SIGN( ( COS(H$313)  *  COS($A316)))  /  SQRT(  ( TAN(H$313))^2   +  ( _xlfn.SEC(H$313)  *  TAN($A316))^2  )))</f>
        <v>64.3410937267447</v>
      </c>
      <c r="I316" s="210" t="n">
        <f aca="false">DEGREES(_xlfn.ACOT( SIGN( ( COS(I$313)  *  COS($A316)))  /  SQRT(  ( TAN(I$313))^2   +  ( _xlfn.SEC(I$313)  *  TAN($A316))^2  )))</f>
        <v>77.0474603577776</v>
      </c>
      <c r="J316" s="234" t="n">
        <f aca="false">DEGREES(_xlfn.ACOT( SIGN( ( COS(J$313)  *  COS($A316)))  /  SQRT(  ( TAN(J$313))^2   +  ( _xlfn.SEC(J$313)  *  TAN($A316))^2  )))</f>
        <v>90</v>
      </c>
      <c r="K316" s="210" t="n">
        <f aca="false">DEGREES(_xlfn.ACOT( SIGN( ( COS(K$313)  *  COS($A316)))  /  SQRT(  ( TAN(K$313))^2   +  ( _xlfn.SEC(K$313)  *  TAN($A316))^2  )))</f>
        <v>102.952539642222</v>
      </c>
      <c r="L316" s="210" t="n">
        <f aca="false">DEGREES(_xlfn.ACOT( SIGN( ( COS(L$313)  *  COS($A316)))  /  SQRT(  ( TAN(L$313))^2   +  ( _xlfn.SEC(L$313)  *  TAN($A316))^2  )))</f>
        <v>115.658906273255</v>
      </c>
      <c r="M316" s="210" t="n">
        <f aca="false">DEGREES(_xlfn.ACOT( SIGN( ( COS(M$313)  *  COS($A316)))  /  SQRT(  ( TAN(M$313))^2   +  ( _xlfn.SEC(M$313)  *  TAN($A316))^2  )))</f>
        <v>127.761243907035</v>
      </c>
      <c r="N316" s="210" t="n">
        <f aca="false">DEGREES(_xlfn.ACOT( SIGN( ( COS(N$313)  *  COS($A316)))  /  SQRT(  ( TAN(N$313))^2   +  ( _xlfn.SEC(N$313)  *  TAN($A316))^2  )))</f>
        <v>138.590377890729</v>
      </c>
      <c r="O316" s="210" t="n">
        <f aca="false">DEGREES(_xlfn.ACOT( SIGN( ( COS(O$313)  *  COS($A316)))  /  SQRT(  ( TAN(O$313))^2   +  ( _xlfn.SEC(O$313)  *  TAN($A316))^2  )))</f>
        <v>146.774057796712</v>
      </c>
      <c r="P316" s="234" t="n">
        <f aca="false">DEGREES(_xlfn.ACOT( SIGN( ( COS(P$313)  *  COS($A316)))  /  SQRT(  ( TAN(P$313))^2   +  ( _xlfn.SEC(P$313)  *  TAN($A316))^2  )))</f>
        <v>150</v>
      </c>
      <c r="Q316" s="210" t="n">
        <f aca="false">DEGREES(_xlfn.ACOT( SIGN( ( COS(Q$313)  *  COS($A316)))  /  SQRT(  ( TAN(Q$313))^2   +  ( _xlfn.SEC(Q$313)  *  TAN($A316))^2  )))</f>
        <v>146.774057796712</v>
      </c>
      <c r="R316" s="210" t="n">
        <f aca="false">DEGREES(_xlfn.ACOT( SIGN( ( COS(R$313)  *  COS($A316)))  /  SQRT(  ( TAN(R$313))^2   +  ( _xlfn.SEC(R$313)  *  TAN($A316))^2  )))</f>
        <v>138.590377890729</v>
      </c>
      <c r="S316" s="210" t="n">
        <f aca="false">DEGREES(_xlfn.ACOT( SIGN( ( COS(S$313)  *  COS($A316)))  /  SQRT(  ( TAN(S$313))^2   +  ( _xlfn.SEC(S$313)  *  TAN($A316))^2  )))</f>
        <v>127.761243907035</v>
      </c>
      <c r="T316" s="210" t="n">
        <f aca="false">DEGREES(_xlfn.ACOT( SIGN( ( COS(T$313)  *  COS($A316)))  /  SQRT(  ( TAN(T$313))^2   +  ( _xlfn.SEC(T$313)  *  TAN($A316))^2  )))</f>
        <v>115.658906273255</v>
      </c>
      <c r="U316" s="210" t="n">
        <f aca="false">DEGREES(_xlfn.ACOT( SIGN( ( COS(U$313)  *  COS($A316)))  /  SQRT(  ( TAN(U$313))^2   +  ( _xlfn.SEC(U$313)  *  TAN($A316))^2  )))</f>
        <v>102.952539642222</v>
      </c>
      <c r="V316" s="234" t="n">
        <f aca="false">DEGREES(_xlfn.ACOT( SIGN( ( COS(V$313)  *  COS($A316)))  /  SQRT(  ( TAN(V$313))^2   +  ( _xlfn.SEC(V$313)  *  TAN($A316))^2  )))</f>
        <v>90</v>
      </c>
      <c r="W316" s="210" t="n">
        <f aca="false">DEGREES(_xlfn.ACOT( SIGN( ( COS(W$313)  *  COS($A316)))  /  SQRT(  ( TAN(W$313))^2   +  ( _xlfn.SEC(W$313)  *  TAN($A316))^2  )))</f>
        <v>77.0474603577776</v>
      </c>
      <c r="X316" s="210" t="n">
        <f aca="false">DEGREES(_xlfn.ACOT( SIGN( ( COS(X$313)  *  COS($A316)))  /  SQRT(  ( TAN(X$313))^2   +  ( _xlfn.SEC(X$313)  *  TAN($A316))^2  )))</f>
        <v>64.3410937267447</v>
      </c>
      <c r="Y316" s="210" t="n">
        <f aca="false">DEGREES(_xlfn.ACOT( SIGN( ( COS(Y$313)  *  COS($A316)))  /  SQRT(  ( TAN(Y$313))^2   +  ( _xlfn.SEC(Y$313)  *  TAN($A316))^2  )))</f>
        <v>52.238756092965</v>
      </c>
      <c r="Z316" s="210" t="n">
        <f aca="false">DEGREES(_xlfn.ACOT( SIGN( ( COS(Z$313)  *  COS($A316)))  /  SQRT(  ( TAN(Z$313))^2   +  ( _xlfn.SEC(Z$313)  *  TAN($A316))^2  )))</f>
        <v>41.4096221092709</v>
      </c>
      <c r="AA316" s="210" t="n">
        <f aca="false">DEGREES(_xlfn.ACOT( SIGN( ( COS(AA$313)  *  COS($A316)))  /  SQRT(  ( TAN(AA$313))^2   +  ( _xlfn.SEC(AA$313)  *  TAN($A316))^2  )))</f>
        <v>33.2259422032876</v>
      </c>
      <c r="AB316" s="234" t="n">
        <f aca="false">DEGREES(_xlfn.ACOT( SIGN( ( COS(AB$313)  *  COS($A316)))  /  SQRT(  ( TAN(AB$313))^2   +  ( _xlfn.SEC(AB$313)  *  TAN($A316))^2  )))</f>
        <v>30.0000015114994</v>
      </c>
      <c r="AC316" s="195" t="n">
        <f aca="false">DEGREES(_xlfn.ACOT( SIGN( ( COS(AC$313)  *  COS($A316)))  /  SQRT(  ( TAN(AC$313))^2   +  ( _xlfn.SEC(AC$313)  *  TAN($A316))^2  )))</f>
        <v>30</v>
      </c>
      <c r="AD316" s="195" t="n">
        <f aca="false">DEGREES(_xlfn.ACOT( SIGN( ( COS(AD$313)  *  COS($A316)))  /  SQRT(  ( TAN(AD$313))^2   +  ( _xlfn.SEC(AD$313)  *  TAN($A316))^2  )))</f>
        <v>30</v>
      </c>
      <c r="AE316" s="1"/>
      <c r="AF316" s="1"/>
      <c r="AG316" s="1"/>
      <c r="AH316" s="1"/>
      <c r="AI316" s="1"/>
      <c r="AJ316" s="1"/>
      <c r="AK316" s="1"/>
      <c r="AL316" s="1"/>
    </row>
    <row r="317" customFormat="false" ht="12.75" hidden="false" customHeight="true" outlineLevel="0" collapsed="false">
      <c r="A317" s="192" t="n">
        <f aca="false">RADIANS(MOD(B317-180,-360)+180)</f>
        <v>0.785398163397448</v>
      </c>
      <c r="B317" s="182" t="n">
        <v>45</v>
      </c>
      <c r="C317" s="1"/>
      <c r="D317" s="234" t="n">
        <f aca="false">DEGREES(_xlfn.ACOT( SIGN( ( COS(D$313)  *  COS($A317)))  /  SQRT(  ( TAN(D$313))^2   +  ( _xlfn.SEC(D$313)  *  TAN($A317))^2  )))</f>
        <v>45.0000000087266</v>
      </c>
      <c r="E317" s="210" t="n">
        <f aca="false">DEGREES(_xlfn.ACOT( SIGN( ( COS(E$313)  *  COS($A317)))  /  SQRT(  ( TAN(E$313))^2   +  ( _xlfn.SEC(E$313)  *  TAN($A317))^2  )))</f>
        <v>46.9204828581291</v>
      </c>
      <c r="F317" s="210" t="n">
        <f aca="false">DEGREES(_xlfn.ACOT( SIGN( ( COS(F$313)  *  COS($A317)))  /  SQRT(  ( TAN(F$313))^2   +  ( _xlfn.SEC(F$313)  *  TAN($A317))^2  )))</f>
        <v>52.238756092965</v>
      </c>
      <c r="G317" s="210" t="n">
        <f aca="false">DEGREES(_xlfn.ACOT( SIGN( ( COS(G$313)  *  COS($A317)))  /  SQRT(  ( TAN(G$313))^2   +  ( _xlfn.SEC(G$313)  *  TAN($A317))^2  )))</f>
        <v>60</v>
      </c>
      <c r="H317" s="210" t="n">
        <f aca="false">DEGREES(_xlfn.ACOT( SIGN( ( COS(H$313)  *  COS($A317)))  /  SQRT(  ( TAN(H$313))^2   +  ( _xlfn.SEC(H$313)  *  TAN($A317))^2  )))</f>
        <v>69.2951889453646</v>
      </c>
      <c r="I317" s="210" t="n">
        <f aca="false">DEGREES(_xlfn.ACOT( SIGN( ( COS(I$313)  *  COS($A317)))  /  SQRT(  ( TAN(I$313))^2   +  ( _xlfn.SEC(I$313)  *  TAN($A317))^2  )))</f>
        <v>79.4547094105004</v>
      </c>
      <c r="J317" s="234" t="n">
        <f aca="false">DEGREES(_xlfn.ACOT( SIGN( ( COS(J$313)  *  COS($A317)))  /  SQRT(  ( TAN(J$313))^2   +  ( _xlfn.SEC(J$313)  *  TAN($A317))^2  )))</f>
        <v>90</v>
      </c>
      <c r="K317" s="210" t="n">
        <f aca="false">DEGREES(_xlfn.ACOT( SIGN( ( COS(K$313)  *  COS($A317)))  /  SQRT(  ( TAN(K$313))^2   +  ( _xlfn.SEC(K$313)  *  TAN($A317))^2  )))</f>
        <v>100.5452905895</v>
      </c>
      <c r="L317" s="210" t="n">
        <f aca="false">DEGREES(_xlfn.ACOT( SIGN( ( COS(L$313)  *  COS($A317)))  /  SQRT(  ( TAN(L$313))^2   +  ( _xlfn.SEC(L$313)  *  TAN($A317))^2  )))</f>
        <v>110.704811054635</v>
      </c>
      <c r="M317" s="210" t="n">
        <f aca="false">DEGREES(_xlfn.ACOT( SIGN( ( COS(M$313)  *  COS($A317)))  /  SQRT(  ( TAN(M$313))^2   +  ( _xlfn.SEC(M$313)  *  TAN($A317))^2  )))</f>
        <v>120</v>
      </c>
      <c r="N317" s="210" t="n">
        <f aca="false">DEGREES(_xlfn.ACOT( SIGN( ( COS(N$313)  *  COS($A317)))  /  SQRT(  ( TAN(N$313))^2   +  ( _xlfn.SEC(N$313)  *  TAN($A317))^2  )))</f>
        <v>127.761243907035</v>
      </c>
      <c r="O317" s="210" t="n">
        <f aca="false">DEGREES(_xlfn.ACOT( SIGN( ( COS(O$313)  *  COS($A317)))  /  SQRT(  ( TAN(O$313))^2   +  ( _xlfn.SEC(O$313)  *  TAN($A317))^2  )))</f>
        <v>133.079517141871</v>
      </c>
      <c r="P317" s="234" t="n">
        <f aca="false">DEGREES(_xlfn.ACOT( SIGN( ( COS(P$313)  *  COS($A317)))  /  SQRT(  ( TAN(P$313))^2   +  ( _xlfn.SEC(P$313)  *  TAN($A317))^2  )))</f>
        <v>135</v>
      </c>
      <c r="Q317" s="210" t="n">
        <f aca="false">DEGREES(_xlfn.ACOT( SIGN( ( COS(Q$313)  *  COS($A317)))  /  SQRT(  ( TAN(Q$313))^2   +  ( _xlfn.SEC(Q$313)  *  TAN($A317))^2  )))</f>
        <v>133.079517141871</v>
      </c>
      <c r="R317" s="210" t="n">
        <f aca="false">DEGREES(_xlfn.ACOT( SIGN( ( COS(R$313)  *  COS($A317)))  /  SQRT(  ( TAN(R$313))^2   +  ( _xlfn.SEC(R$313)  *  TAN($A317))^2  )))</f>
        <v>127.761243907035</v>
      </c>
      <c r="S317" s="210" t="n">
        <f aca="false">DEGREES(_xlfn.ACOT( SIGN( ( COS(S$313)  *  COS($A317)))  /  SQRT(  ( TAN(S$313))^2   +  ( _xlfn.SEC(S$313)  *  TAN($A317))^2  )))</f>
        <v>120</v>
      </c>
      <c r="T317" s="210" t="n">
        <f aca="false">DEGREES(_xlfn.ACOT( SIGN( ( COS(T$313)  *  COS($A317)))  /  SQRT(  ( TAN(T$313))^2   +  ( _xlfn.SEC(T$313)  *  TAN($A317))^2  )))</f>
        <v>110.704811054635</v>
      </c>
      <c r="U317" s="210" t="n">
        <f aca="false">DEGREES(_xlfn.ACOT( SIGN( ( COS(U$313)  *  COS($A317)))  /  SQRT(  ( TAN(U$313))^2   +  ( _xlfn.SEC(U$313)  *  TAN($A317))^2  )))</f>
        <v>100.5452905895</v>
      </c>
      <c r="V317" s="234" t="n">
        <f aca="false">DEGREES(_xlfn.ACOT( SIGN( ( COS(V$313)  *  COS($A317)))  /  SQRT(  ( TAN(V$313))^2   +  ( _xlfn.SEC(V$313)  *  TAN($A317))^2  )))</f>
        <v>90</v>
      </c>
      <c r="W317" s="210" t="n">
        <f aca="false">DEGREES(_xlfn.ACOT( SIGN( ( COS(W$313)  *  COS($A317)))  /  SQRT(  ( TAN(W$313))^2   +  ( _xlfn.SEC(W$313)  *  TAN($A317))^2  )))</f>
        <v>79.4547094105004</v>
      </c>
      <c r="X317" s="210" t="n">
        <f aca="false">DEGREES(_xlfn.ACOT( SIGN( ( COS(X$313)  *  COS($A317)))  /  SQRT(  ( TAN(X$313))^2   +  ( _xlfn.SEC(X$313)  *  TAN($A317))^2  )))</f>
        <v>69.2951889453646</v>
      </c>
      <c r="Y317" s="210" t="n">
        <f aca="false">DEGREES(_xlfn.ACOT( SIGN( ( COS(Y$313)  *  COS($A317)))  /  SQRT(  ( TAN(Y$313))^2   +  ( _xlfn.SEC(Y$313)  *  TAN($A317))^2  )))</f>
        <v>60</v>
      </c>
      <c r="Z317" s="210" t="n">
        <f aca="false">DEGREES(_xlfn.ACOT( SIGN( ( COS(Z$313)  *  COS($A317)))  /  SQRT(  ( TAN(Z$313))^2   +  ( _xlfn.SEC(Z$313)  *  TAN($A317))^2  )))</f>
        <v>52.238756092965</v>
      </c>
      <c r="AA317" s="210" t="n">
        <f aca="false">DEGREES(_xlfn.ACOT( SIGN( ( COS(AA$313)  *  COS($A317)))  /  SQRT(  ( TAN(AA$313))^2   +  ( _xlfn.SEC(AA$313)  *  TAN($A317))^2  )))</f>
        <v>46.9204828581291</v>
      </c>
      <c r="AB317" s="234" t="n">
        <f aca="false">DEGREES(_xlfn.ACOT( SIGN( ( COS(AB$313)  *  COS($A317)))  /  SQRT(  ( TAN(AB$313))^2   +  ( _xlfn.SEC(AB$313)  *  TAN($A317))^2  )))</f>
        <v>45.0000008726646</v>
      </c>
      <c r="AC317" s="195" t="n">
        <f aca="false">DEGREES(_xlfn.ACOT( SIGN( ( COS(AC$313)  *  COS($A317)))  /  SQRT(  ( TAN(AC$313))^2   +  ( _xlfn.SEC(AC$313)  *  TAN($A317))^2  )))</f>
        <v>45</v>
      </c>
      <c r="AD317" s="195" t="n">
        <f aca="false">DEGREES(_xlfn.ACOT( SIGN( ( COS(AD$313)  *  COS($A317)))  /  SQRT(  ( TAN(AD$313))^2   +  ( _xlfn.SEC(AD$313)  *  TAN($A317))^2  )))</f>
        <v>45</v>
      </c>
      <c r="AE317" s="1"/>
      <c r="AF317" s="1"/>
      <c r="AG317" s="1"/>
      <c r="AH317" s="1"/>
      <c r="AI317" s="1"/>
      <c r="AJ317" s="1"/>
      <c r="AK317" s="1"/>
      <c r="AL317" s="1"/>
    </row>
    <row r="318" customFormat="false" ht="12.75" hidden="false" customHeight="true" outlineLevel="0" collapsed="false">
      <c r="A318" s="192" t="n">
        <f aca="false">RADIANS(MOD(B318-180,-360)+180)</f>
        <v>1.0471975511966</v>
      </c>
      <c r="B318" s="182" t="n">
        <v>60</v>
      </c>
      <c r="C318" s="1"/>
      <c r="D318" s="234" t="n">
        <f aca="false">DEGREES(_xlfn.ACOT( SIGN( ( COS(D$313)  *  COS($A318)))  /  SQRT(  ( TAN(D$313))^2   +  ( _xlfn.SEC(D$313)  *  TAN($A318))^2  )))</f>
        <v>60.0000000050383</v>
      </c>
      <c r="E318" s="210" t="n">
        <f aca="false">DEGREES(_xlfn.ACOT( SIGN( ( COS(E$313)  *  COS($A318)))  /  SQRT(  ( TAN(E$313))^2   +  ( _xlfn.SEC(E$313)  *  TAN($A318))^2  )))</f>
        <v>61.1209059825724</v>
      </c>
      <c r="F318" s="210" t="n">
        <f aca="false">DEGREES(_xlfn.ACOT( SIGN( ( COS(F$313)  *  COS($A318)))  /  SQRT(  ( TAN(F$313))^2   +  ( _xlfn.SEC(F$313)  *  TAN($A318))^2  )))</f>
        <v>64.3410937267447</v>
      </c>
      <c r="G318" s="210" t="n">
        <f aca="false">DEGREES(_xlfn.ACOT( SIGN( ( COS(G$313)  *  COS($A318)))  /  SQRT(  ( TAN(G$313))^2   +  ( _xlfn.SEC(G$313)  *  TAN($A318))^2  )))</f>
        <v>69.2951889453646</v>
      </c>
      <c r="H318" s="210" t="n">
        <f aca="false">DEGREES(_xlfn.ACOT( SIGN( ( COS(H$313)  *  COS($A318)))  /  SQRT(  ( TAN(H$313))^2   +  ( _xlfn.SEC(H$313)  *  TAN($A318))^2  )))</f>
        <v>75.5224878140701</v>
      </c>
      <c r="I318" s="210" t="n">
        <f aca="false">DEGREES(_xlfn.ACOT( SIGN( ( COS(I$313)  *  COS($A318)))  /  SQRT(  ( TAN(I$313))^2   +  ( _xlfn.SEC(I$313)  *  TAN($A318))^2  )))</f>
        <v>82.5645277738682</v>
      </c>
      <c r="J318" s="234" t="n">
        <f aca="false">DEGREES(_xlfn.ACOT( SIGN( ( COS(J$313)  *  COS($A318)))  /  SQRT(  ( TAN(J$313))^2   +  ( _xlfn.SEC(J$313)  *  TAN($A318))^2  )))</f>
        <v>90</v>
      </c>
      <c r="K318" s="210" t="n">
        <f aca="false">DEGREES(_xlfn.ACOT( SIGN( ( COS(K$313)  *  COS($A318)))  /  SQRT(  ( TAN(K$313))^2   +  ( _xlfn.SEC(K$313)  *  TAN($A318))^2  )))</f>
        <v>97.4354722261319</v>
      </c>
      <c r="L318" s="210" t="n">
        <f aca="false">DEGREES(_xlfn.ACOT( SIGN( ( COS(L$313)  *  COS($A318)))  /  SQRT(  ( TAN(L$313))^2   +  ( _xlfn.SEC(L$313)  *  TAN($A318))^2  )))</f>
        <v>104.47751218593</v>
      </c>
      <c r="M318" s="210" t="n">
        <f aca="false">DEGREES(_xlfn.ACOT( SIGN( ( COS(M$313)  *  COS($A318)))  /  SQRT(  ( TAN(M$313))^2   +  ( _xlfn.SEC(M$313)  *  TAN($A318))^2  )))</f>
        <v>110.704811054635</v>
      </c>
      <c r="N318" s="210" t="n">
        <f aca="false">DEGREES(_xlfn.ACOT( SIGN( ( COS(N$313)  *  COS($A318)))  /  SQRT(  ( TAN(N$313))^2   +  ( _xlfn.SEC(N$313)  *  TAN($A318))^2  )))</f>
        <v>115.658906273255</v>
      </c>
      <c r="O318" s="210" t="n">
        <f aca="false">DEGREES(_xlfn.ACOT( SIGN( ( COS(O$313)  *  COS($A318)))  /  SQRT(  ( TAN(O$313))^2   +  ( _xlfn.SEC(O$313)  *  TAN($A318))^2  )))</f>
        <v>118.879094017428</v>
      </c>
      <c r="P318" s="234" t="n">
        <f aca="false">DEGREES(_xlfn.ACOT( SIGN( ( COS(P$313)  *  COS($A318)))  /  SQRT(  ( TAN(P$313))^2   +  ( _xlfn.SEC(P$313)  *  TAN($A318))^2  )))</f>
        <v>120</v>
      </c>
      <c r="Q318" s="210" t="n">
        <f aca="false">DEGREES(_xlfn.ACOT( SIGN( ( COS(Q$313)  *  COS($A318)))  /  SQRT(  ( TAN(Q$313))^2   +  ( _xlfn.SEC(Q$313)  *  TAN($A318))^2  )))</f>
        <v>118.879094017428</v>
      </c>
      <c r="R318" s="210" t="n">
        <f aca="false">DEGREES(_xlfn.ACOT( SIGN( ( COS(R$313)  *  COS($A318)))  /  SQRT(  ( TAN(R$313))^2   +  ( _xlfn.SEC(R$313)  *  TAN($A318))^2  )))</f>
        <v>115.658906273255</v>
      </c>
      <c r="S318" s="210" t="n">
        <f aca="false">DEGREES(_xlfn.ACOT( SIGN( ( COS(S$313)  *  COS($A318)))  /  SQRT(  ( TAN(S$313))^2   +  ( _xlfn.SEC(S$313)  *  TAN($A318))^2  )))</f>
        <v>110.704811054635</v>
      </c>
      <c r="T318" s="210" t="n">
        <f aca="false">DEGREES(_xlfn.ACOT( SIGN( ( COS(T$313)  *  COS($A318)))  /  SQRT(  ( TAN(T$313))^2   +  ( _xlfn.SEC(T$313)  *  TAN($A318))^2  )))</f>
        <v>104.47751218593</v>
      </c>
      <c r="U318" s="210" t="n">
        <f aca="false">DEGREES(_xlfn.ACOT( SIGN( ( COS(U$313)  *  COS($A318)))  /  SQRT(  ( TAN(U$313))^2   +  ( _xlfn.SEC(U$313)  *  TAN($A318))^2  )))</f>
        <v>97.4354722261319</v>
      </c>
      <c r="V318" s="234" t="n">
        <f aca="false">DEGREES(_xlfn.ACOT( SIGN( ( COS(V$313)  *  COS($A318)))  /  SQRT(  ( TAN(V$313))^2   +  ( _xlfn.SEC(V$313)  *  TAN($A318))^2  )))</f>
        <v>90</v>
      </c>
      <c r="W318" s="210" t="n">
        <f aca="false">DEGREES(_xlfn.ACOT( SIGN( ( COS(W$313)  *  COS($A318)))  /  SQRT(  ( TAN(W$313))^2   +  ( _xlfn.SEC(W$313)  *  TAN($A318))^2  )))</f>
        <v>82.5645277738682</v>
      </c>
      <c r="X318" s="210" t="n">
        <f aca="false">DEGREES(_xlfn.ACOT( SIGN( ( COS(X$313)  *  COS($A318)))  /  SQRT(  ( TAN(X$313))^2   +  ( _xlfn.SEC(X$313)  *  TAN($A318))^2  )))</f>
        <v>75.5224878140701</v>
      </c>
      <c r="Y318" s="210" t="n">
        <f aca="false">DEGREES(_xlfn.ACOT( SIGN( ( COS(Y$313)  *  COS($A318)))  /  SQRT(  ( TAN(Y$313))^2   +  ( _xlfn.SEC(Y$313)  *  TAN($A318))^2  )))</f>
        <v>69.2951889453646</v>
      </c>
      <c r="Z318" s="210" t="n">
        <f aca="false">DEGREES(_xlfn.ACOT( SIGN( ( COS(Z$313)  *  COS($A318)))  /  SQRT(  ( TAN(Z$313))^2   +  ( _xlfn.SEC(Z$313)  *  TAN($A318))^2  )))</f>
        <v>64.3410937267447</v>
      </c>
      <c r="AA318" s="210" t="n">
        <f aca="false">DEGREES(_xlfn.ACOT( SIGN( ( COS(AA$313)  *  COS($A318)))  /  SQRT(  ( TAN(AA$313))^2   +  ( _xlfn.SEC(AA$313)  *  TAN($A318))^2  )))</f>
        <v>61.1209059825724</v>
      </c>
      <c r="AB318" s="234" t="n">
        <f aca="false">DEGREES(_xlfn.ACOT( SIGN( ( COS(AB$313)  *  COS($A318)))  /  SQRT(  ( TAN(AB$313))^2   +  ( _xlfn.SEC(AB$313)  *  TAN($A318))^2  )))</f>
        <v>60.0000005038332</v>
      </c>
      <c r="AC318" s="195" t="n">
        <f aca="false">DEGREES(_xlfn.ACOT( SIGN( ( COS(AC$313)  *  COS($A318)))  /  SQRT(  ( TAN(AC$313))^2   +  ( _xlfn.SEC(AC$313)  *  TAN($A318))^2  )))</f>
        <v>60</v>
      </c>
      <c r="AD318" s="195" t="n">
        <f aca="false">DEGREES(_xlfn.ACOT( SIGN( ( COS(AD$313)  *  COS($A318)))  /  SQRT(  ( TAN(AD$313))^2   +  ( _xlfn.SEC(AD$313)  *  TAN($A318))^2  )))</f>
        <v>60</v>
      </c>
      <c r="AE318" s="1"/>
      <c r="AF318" s="1"/>
      <c r="AG318" s="1"/>
      <c r="AH318" s="1"/>
      <c r="AI318" s="1"/>
      <c r="AJ318" s="1"/>
      <c r="AK318" s="1"/>
      <c r="AL318" s="1"/>
    </row>
    <row r="319" customFormat="false" ht="12.75" hidden="false" customHeight="true" outlineLevel="0" collapsed="false">
      <c r="A319" s="192" t="n">
        <f aca="false">RADIANS(MOD(B319-180,-360)+180)</f>
        <v>1.30899693899575</v>
      </c>
      <c r="B319" s="182" t="n">
        <v>75</v>
      </c>
      <c r="C319" s="1"/>
      <c r="D319" s="234" t="n">
        <f aca="false">DEGREES(_xlfn.ACOT( SIGN( ( COS(D$313)  *  COS($A319)))  /  SQRT(  ( TAN(D$313))^2   +  ( _xlfn.SEC(D$313)  *  TAN($A319))^2  )))</f>
        <v>75.0000000023383</v>
      </c>
      <c r="E319" s="210" t="n">
        <f aca="false">DEGREES(_xlfn.ACOT( SIGN( ( COS(E$313)  *  COS($A319)))  /  SQRT(  ( TAN(E$313))^2   +  ( _xlfn.SEC(E$313)  *  TAN($A319))^2  )))</f>
        <v>75.5224878140701</v>
      </c>
      <c r="F319" s="210" t="n">
        <f aca="false">DEGREES(_xlfn.ACOT( SIGN( ( COS(F$313)  *  COS($A319)))  /  SQRT(  ( TAN(F$313))^2   +  ( _xlfn.SEC(F$313)  *  TAN($A319))^2  )))</f>
        <v>77.0474603577776</v>
      </c>
      <c r="G319" s="210" t="n">
        <f aca="false">DEGREES(_xlfn.ACOT( SIGN( ( COS(G$313)  *  COS($A319)))  /  SQRT(  ( TAN(G$313))^2   +  ( _xlfn.SEC(G$313)  *  TAN($A319))^2  )))</f>
        <v>79.4547094105004</v>
      </c>
      <c r="H319" s="210" t="n">
        <f aca="false">DEGREES(_xlfn.ACOT( SIGN( ( COS(H$313)  *  COS($A319)))  /  SQRT(  ( TAN(H$313))^2   +  ( _xlfn.SEC(H$313)  *  TAN($A319))^2  )))</f>
        <v>82.5645277738682</v>
      </c>
      <c r="I319" s="210" t="n">
        <f aca="false">DEGREES(_xlfn.ACOT( SIGN( ( COS(I$313)  *  COS($A319)))  /  SQRT(  ( TAN(I$313))^2   +  ( _xlfn.SEC(I$313)  *  TAN($A319))^2  )))</f>
        <v>86.1590342837419</v>
      </c>
      <c r="J319" s="234" t="n">
        <f aca="false">DEGREES(_xlfn.ACOT( SIGN( ( COS(J$313)  *  COS($A319)))  /  SQRT(  ( TAN(J$313))^2   +  ( _xlfn.SEC(J$313)  *  TAN($A319))^2  )))</f>
        <v>90</v>
      </c>
      <c r="K319" s="210" t="n">
        <f aca="false">DEGREES(_xlfn.ACOT( SIGN( ( COS(K$313)  *  COS($A319)))  /  SQRT(  ( TAN(K$313))^2   +  ( _xlfn.SEC(K$313)  *  TAN($A319))^2  )))</f>
        <v>93.8409657162582</v>
      </c>
      <c r="L319" s="210" t="n">
        <f aca="false">DEGREES(_xlfn.ACOT( SIGN( ( COS(L$313)  *  COS($A319)))  /  SQRT(  ( TAN(L$313))^2   +  ( _xlfn.SEC(L$313)  *  TAN($A319))^2  )))</f>
        <v>97.4354722261318</v>
      </c>
      <c r="M319" s="210" t="n">
        <f aca="false">DEGREES(_xlfn.ACOT( SIGN( ( COS(M$313)  *  COS($A319)))  /  SQRT(  ( TAN(M$313))^2   +  ( _xlfn.SEC(M$313)  *  TAN($A319))^2  )))</f>
        <v>100.5452905895</v>
      </c>
      <c r="N319" s="210" t="n">
        <f aca="false">DEGREES(_xlfn.ACOT( SIGN( ( COS(N$313)  *  COS($A319)))  /  SQRT(  ( TAN(N$313))^2   +  ( _xlfn.SEC(N$313)  *  TAN($A319))^2  )))</f>
        <v>102.952539642222</v>
      </c>
      <c r="O319" s="210" t="n">
        <f aca="false">DEGREES(_xlfn.ACOT( SIGN( ( COS(O$313)  *  COS($A319)))  /  SQRT(  ( TAN(O$313))^2   +  ( _xlfn.SEC(O$313)  *  TAN($A319))^2  )))</f>
        <v>104.47751218593</v>
      </c>
      <c r="P319" s="234" t="n">
        <f aca="false">DEGREES(_xlfn.ACOT( SIGN( ( COS(P$313)  *  COS($A319)))  /  SQRT(  ( TAN(P$313))^2   +  ( _xlfn.SEC(P$313)  *  TAN($A319))^2  )))</f>
        <v>105</v>
      </c>
      <c r="Q319" s="210" t="n">
        <f aca="false">DEGREES(_xlfn.ACOT( SIGN( ( COS(Q$313)  *  COS($A319)))  /  SQRT(  ( TAN(Q$313))^2   +  ( _xlfn.SEC(Q$313)  *  TAN($A319))^2  )))</f>
        <v>104.47751218593</v>
      </c>
      <c r="R319" s="210" t="n">
        <f aca="false">DEGREES(_xlfn.ACOT( SIGN( ( COS(R$313)  *  COS($A319)))  /  SQRT(  ( TAN(R$313))^2   +  ( _xlfn.SEC(R$313)  *  TAN($A319))^2  )))</f>
        <v>102.952539642222</v>
      </c>
      <c r="S319" s="210" t="n">
        <f aca="false">DEGREES(_xlfn.ACOT( SIGN( ( COS(S$313)  *  COS($A319)))  /  SQRT(  ( TAN(S$313))^2   +  ( _xlfn.SEC(S$313)  *  TAN($A319))^2  )))</f>
        <v>100.5452905895</v>
      </c>
      <c r="T319" s="210" t="n">
        <f aca="false">DEGREES(_xlfn.ACOT( SIGN( ( COS(T$313)  *  COS($A319)))  /  SQRT(  ( TAN(T$313))^2   +  ( _xlfn.SEC(T$313)  *  TAN($A319))^2  )))</f>
        <v>97.4354722261318</v>
      </c>
      <c r="U319" s="210" t="n">
        <f aca="false">DEGREES(_xlfn.ACOT( SIGN( ( COS(U$313)  *  COS($A319)))  /  SQRT(  ( TAN(U$313))^2   +  ( _xlfn.SEC(U$313)  *  TAN($A319))^2  )))</f>
        <v>93.8409657162582</v>
      </c>
      <c r="V319" s="234" t="n">
        <f aca="false">DEGREES(_xlfn.ACOT( SIGN( ( COS(V$313)  *  COS($A319)))  /  SQRT(  ( TAN(V$313))^2   +  ( _xlfn.SEC(V$313)  *  TAN($A319))^2  )))</f>
        <v>90</v>
      </c>
      <c r="W319" s="210" t="n">
        <f aca="false">DEGREES(_xlfn.ACOT( SIGN( ( COS(W$313)  *  COS($A319)))  /  SQRT(  ( TAN(W$313))^2   +  ( _xlfn.SEC(W$313)  *  TAN($A319))^2  )))</f>
        <v>86.1590342837419</v>
      </c>
      <c r="X319" s="210" t="n">
        <f aca="false">DEGREES(_xlfn.ACOT( SIGN( ( COS(X$313)  *  COS($A319)))  /  SQRT(  ( TAN(X$313))^2   +  ( _xlfn.SEC(X$313)  *  TAN($A319))^2  )))</f>
        <v>82.5645277738682</v>
      </c>
      <c r="Y319" s="210" t="n">
        <f aca="false">DEGREES(_xlfn.ACOT( SIGN( ( COS(Y$313)  *  COS($A319)))  /  SQRT(  ( TAN(Y$313))^2   +  ( _xlfn.SEC(Y$313)  *  TAN($A319))^2  )))</f>
        <v>79.4547094105004</v>
      </c>
      <c r="Z319" s="210" t="n">
        <f aca="false">DEGREES(_xlfn.ACOT( SIGN( ( COS(Z$313)  *  COS($A319)))  /  SQRT(  ( TAN(Z$313))^2   +  ( _xlfn.SEC(Z$313)  *  TAN($A319))^2  )))</f>
        <v>77.0474603577776</v>
      </c>
      <c r="AA319" s="210" t="n">
        <f aca="false">DEGREES(_xlfn.ACOT( SIGN( ( COS(AA$313)  *  COS($A319)))  /  SQRT(  ( TAN(AA$313))^2   +  ( _xlfn.SEC(AA$313)  *  TAN($A319))^2  )))</f>
        <v>75.5224878140701</v>
      </c>
      <c r="AB319" s="234" t="n">
        <f aca="false">DEGREES(_xlfn.ACOT( SIGN( ( COS(AB$313)  *  COS($A319)))  /  SQRT(  ( TAN(AB$313))^2   +  ( _xlfn.SEC(AB$313)  *  TAN($A319))^2  )))</f>
        <v>75.0000002338298</v>
      </c>
      <c r="AC319" s="195" t="n">
        <f aca="false">DEGREES(_xlfn.ACOT( SIGN( ( COS(AC$313)  *  COS($A319)))  /  SQRT(  ( TAN(AC$313))^2   +  ( _xlfn.SEC(AC$313)  *  TAN($A319))^2  )))</f>
        <v>75</v>
      </c>
      <c r="AD319" s="195" t="n">
        <f aca="false">DEGREES(_xlfn.ACOT( SIGN( ( COS(AD$313)  *  COS($A319)))  /  SQRT(  ( TAN(AD$313))^2   +  ( _xlfn.SEC(AD$313)  *  TAN($A319))^2  )))</f>
        <v>75</v>
      </c>
      <c r="AE319" s="1"/>
      <c r="AF319" s="1"/>
      <c r="AG319" s="1"/>
      <c r="AH319" s="1"/>
      <c r="AI319" s="1"/>
      <c r="AJ319" s="1"/>
      <c r="AK319" s="1"/>
      <c r="AL319" s="1"/>
    </row>
    <row r="320" customFormat="false" ht="12.75" hidden="false" customHeight="true" outlineLevel="0" collapsed="false">
      <c r="A320" s="192" t="n">
        <f aca="false">RADIANS(MOD(B320-180,-360)+180)</f>
        <v>1.5707963267949</v>
      </c>
      <c r="B320" s="182" t="n">
        <v>90</v>
      </c>
      <c r="C320" s="1"/>
      <c r="D320" s="234" t="n">
        <f aca="false">DEGREES(_xlfn.ACOT( SIGN( ( COS(D$313)  *  COS($A320)))  /  SQRT(  ( TAN(D$313))^2   +  ( _xlfn.SEC(D$313)  *  TAN($A320))^2  )))</f>
        <v>90</v>
      </c>
      <c r="E320" s="234" t="n">
        <f aca="false">DEGREES(_xlfn.ACOT( SIGN( ( COS(E$313)  *  COS($A320)))  /  SQRT(  ( TAN(E$313))^2   +  ( _xlfn.SEC(E$313)  *  TAN($A320))^2  )))</f>
        <v>90</v>
      </c>
      <c r="F320" s="234" t="n">
        <f aca="false">DEGREES(_xlfn.ACOT( SIGN( ( COS(F$313)  *  COS($A320)))  /  SQRT(  ( TAN(F$313))^2   +  ( _xlfn.SEC(F$313)  *  TAN($A320))^2  )))</f>
        <v>90</v>
      </c>
      <c r="G320" s="234" t="n">
        <f aca="false">DEGREES(_xlfn.ACOT( SIGN( ( COS(G$313)  *  COS($A320)))  /  SQRT(  ( TAN(G$313))^2   +  ( _xlfn.SEC(G$313)  *  TAN($A320))^2  )))</f>
        <v>90</v>
      </c>
      <c r="H320" s="234" t="n">
        <f aca="false">DEGREES(_xlfn.ACOT( SIGN( ( COS(H$313)  *  COS($A320)))  /  SQRT(  ( TAN(H$313))^2   +  ( _xlfn.SEC(H$313)  *  TAN($A320))^2  )))</f>
        <v>90</v>
      </c>
      <c r="I320" s="234" t="n">
        <f aca="false">DEGREES(_xlfn.ACOT( SIGN( ( COS(I$313)  *  COS($A320)))  /  SQRT(  ( TAN(I$313))^2   +  ( _xlfn.SEC(I$313)  *  TAN($A320))^2  )))</f>
        <v>90</v>
      </c>
      <c r="J320" s="234" t="n">
        <f aca="false">DEGREES(_xlfn.ACOT( SIGN( ( COS(J$313)  *  COS($A320)))  /  SQRT(  ( TAN(J$313))^2   +  ( _xlfn.SEC(J$313)  *  TAN($A320))^2  )))</f>
        <v>90</v>
      </c>
      <c r="K320" s="234" t="n">
        <f aca="false">DEGREES(_xlfn.ACOT( SIGN( ( COS(K$313)  *  COS($A320)))  /  SQRT(  ( TAN(K$313))^2   +  ( _xlfn.SEC(K$313)  *  TAN($A320))^2  )))</f>
        <v>90</v>
      </c>
      <c r="L320" s="234" t="n">
        <f aca="false">DEGREES(_xlfn.ACOT( SIGN( ( COS(L$313)  *  COS($A320)))  /  SQRT(  ( TAN(L$313))^2   +  ( _xlfn.SEC(L$313)  *  TAN($A320))^2  )))</f>
        <v>90</v>
      </c>
      <c r="M320" s="234" t="n">
        <f aca="false">DEGREES(_xlfn.ACOT( SIGN( ( COS(M$313)  *  COS($A320)))  /  SQRT(  ( TAN(M$313))^2   +  ( _xlfn.SEC(M$313)  *  TAN($A320))^2  )))</f>
        <v>90</v>
      </c>
      <c r="N320" s="234" t="n">
        <f aca="false">DEGREES(_xlfn.ACOT( SIGN( ( COS(N$313)  *  COS($A320)))  /  SQRT(  ( TAN(N$313))^2   +  ( _xlfn.SEC(N$313)  *  TAN($A320))^2  )))</f>
        <v>90</v>
      </c>
      <c r="O320" s="234" t="n">
        <f aca="false">DEGREES(_xlfn.ACOT( SIGN( ( COS(O$313)  *  COS($A320)))  /  SQRT(  ( TAN(O$313))^2   +  ( _xlfn.SEC(O$313)  *  TAN($A320))^2  )))</f>
        <v>90</v>
      </c>
      <c r="P320" s="234" t="n">
        <f aca="false">DEGREES(_xlfn.ACOT( SIGN( ( COS(P$313)  *  COS($A320)))  /  SQRT(  ( TAN(P$313))^2   +  ( _xlfn.SEC(P$313)  *  TAN($A320))^2  )))</f>
        <v>90</v>
      </c>
      <c r="Q320" s="234" t="n">
        <f aca="false">DEGREES(_xlfn.ACOT( SIGN( ( COS(Q$313)  *  COS($A320)))  /  SQRT(  ( TAN(Q$313))^2   +  ( _xlfn.SEC(Q$313)  *  TAN($A320))^2  )))</f>
        <v>90</v>
      </c>
      <c r="R320" s="234" t="n">
        <f aca="false">DEGREES(_xlfn.ACOT( SIGN( ( COS(R$313)  *  COS($A320)))  /  SQRT(  ( TAN(R$313))^2   +  ( _xlfn.SEC(R$313)  *  TAN($A320))^2  )))</f>
        <v>90</v>
      </c>
      <c r="S320" s="234" t="n">
        <f aca="false">DEGREES(_xlfn.ACOT( SIGN( ( COS(S$313)  *  COS($A320)))  /  SQRT(  ( TAN(S$313))^2   +  ( _xlfn.SEC(S$313)  *  TAN($A320))^2  )))</f>
        <v>90</v>
      </c>
      <c r="T320" s="234" t="n">
        <f aca="false">DEGREES(_xlfn.ACOT( SIGN( ( COS(T$313)  *  COS($A320)))  /  SQRT(  ( TAN(T$313))^2   +  ( _xlfn.SEC(T$313)  *  TAN($A320))^2  )))</f>
        <v>90</v>
      </c>
      <c r="U320" s="234" t="n">
        <f aca="false">DEGREES(_xlfn.ACOT( SIGN( ( COS(U$313)  *  COS($A320)))  /  SQRT(  ( TAN(U$313))^2   +  ( _xlfn.SEC(U$313)  *  TAN($A320))^2  )))</f>
        <v>90</v>
      </c>
      <c r="V320" s="234" t="n">
        <f aca="false">DEGREES(_xlfn.ACOT( SIGN( ( COS(V$313)  *  COS($A320)))  /  SQRT(  ( TAN(V$313))^2   +  ( _xlfn.SEC(V$313)  *  TAN($A320))^2  )))</f>
        <v>90</v>
      </c>
      <c r="W320" s="234" t="n">
        <f aca="false">DEGREES(_xlfn.ACOT( SIGN( ( COS(W$313)  *  COS($A320)))  /  SQRT(  ( TAN(W$313))^2   +  ( _xlfn.SEC(W$313)  *  TAN($A320))^2  )))</f>
        <v>90</v>
      </c>
      <c r="X320" s="234" t="n">
        <f aca="false">DEGREES(_xlfn.ACOT( SIGN( ( COS(X$313)  *  COS($A320)))  /  SQRT(  ( TAN(X$313))^2   +  ( _xlfn.SEC(X$313)  *  TAN($A320))^2  )))</f>
        <v>90</v>
      </c>
      <c r="Y320" s="234" t="n">
        <f aca="false">DEGREES(_xlfn.ACOT( SIGN( ( COS(Y$313)  *  COS($A320)))  /  SQRT(  ( TAN(Y$313))^2   +  ( _xlfn.SEC(Y$313)  *  TAN($A320))^2  )))</f>
        <v>90</v>
      </c>
      <c r="Z320" s="234" t="n">
        <f aca="false">DEGREES(_xlfn.ACOT( SIGN( ( COS(Z$313)  *  COS($A320)))  /  SQRT(  ( TAN(Z$313))^2   +  ( _xlfn.SEC(Z$313)  *  TAN($A320))^2  )))</f>
        <v>90</v>
      </c>
      <c r="AA320" s="234" t="n">
        <f aca="false">DEGREES(_xlfn.ACOT( SIGN( ( COS(AA$313)  *  COS($A320)))  /  SQRT(  ( TAN(AA$313))^2   +  ( _xlfn.SEC(AA$313)  *  TAN($A320))^2  )))</f>
        <v>90</v>
      </c>
      <c r="AB320" s="234" t="n">
        <f aca="false">DEGREES(_xlfn.ACOT( SIGN( ( COS(AB$313)  *  COS($A320)))  /  SQRT(  ( TAN(AB$313))^2   +  ( _xlfn.SEC(AB$313)  *  TAN($A320))^2  )))</f>
        <v>90</v>
      </c>
      <c r="AC320" s="195" t="n">
        <f aca="false">DEGREES(_xlfn.ACOT( SIGN( ( COS(AC$313)  *  COS($A320)))  /  SQRT(  ( TAN(AC$313))^2   +  ( _xlfn.SEC(AC$313)  *  TAN($A320))^2  )))</f>
        <v>90</v>
      </c>
      <c r="AD320" s="195" t="n">
        <f aca="false">DEGREES(_xlfn.ACOT( SIGN( ( COS(AD$313)  *  COS($A320)))  /  SQRT(  ( TAN(AD$313))^2   +  ( _xlfn.SEC(AD$313)  *  TAN($A320))^2  )))</f>
        <v>90</v>
      </c>
      <c r="AE320" s="1"/>
      <c r="AF320" s="1"/>
      <c r="AG320" s="1"/>
      <c r="AH320" s="1"/>
      <c r="AI320" s="1"/>
      <c r="AJ320" s="1"/>
      <c r="AK320" s="1"/>
      <c r="AL320" s="1"/>
    </row>
    <row r="321" customFormat="false" ht="12.75" hidden="false" customHeight="true" outlineLevel="0" collapsed="false">
      <c r="A321" s="192" t="n">
        <f aca="false">RADIANS(MOD(B321-180,-360)+180)</f>
        <v>1.83259571459405</v>
      </c>
      <c r="B321" s="182" t="n">
        <v>105</v>
      </c>
      <c r="C321" s="1"/>
      <c r="D321" s="234" t="n">
        <f aca="false">DEGREES(_xlfn.ACOT( SIGN( ( COS(D$313)  *  COS($A321)))  /  SQRT(  ( TAN(D$313))^2   +  ( _xlfn.SEC(D$313)  *  TAN($A321))^2  )))</f>
        <v>104.999999997662</v>
      </c>
      <c r="E321" s="210" t="n">
        <f aca="false">DEGREES(_xlfn.ACOT( SIGN( ( COS(E$313)  *  COS($A321)))  /  SQRT(  ( TAN(E$313))^2   +  ( _xlfn.SEC(E$313)  *  TAN($A321))^2  )))</f>
        <v>104.47751218593</v>
      </c>
      <c r="F321" s="210" t="n">
        <f aca="false">DEGREES(_xlfn.ACOT( SIGN( ( COS(F$313)  *  COS($A321)))  /  SQRT(  ( TAN(F$313))^2   +  ( _xlfn.SEC(F$313)  *  TAN($A321))^2  )))</f>
        <v>102.952539642222</v>
      </c>
      <c r="G321" s="210" t="n">
        <f aca="false">DEGREES(_xlfn.ACOT( SIGN( ( COS(G$313)  *  COS($A321)))  /  SQRT(  ( TAN(G$313))^2   +  ( _xlfn.SEC(G$313)  *  TAN($A321))^2  )))</f>
        <v>100.5452905895</v>
      </c>
      <c r="H321" s="210" t="n">
        <f aca="false">DEGREES(_xlfn.ACOT( SIGN( ( COS(H$313)  *  COS($A321)))  /  SQRT(  ( TAN(H$313))^2   +  ( _xlfn.SEC(H$313)  *  TAN($A321))^2  )))</f>
        <v>97.4354722261319</v>
      </c>
      <c r="I321" s="210" t="n">
        <f aca="false">DEGREES(_xlfn.ACOT( SIGN( ( COS(I$313)  *  COS($A321)))  /  SQRT(  ( TAN(I$313))^2   +  ( _xlfn.SEC(I$313)  *  TAN($A321))^2  )))</f>
        <v>93.8409657162582</v>
      </c>
      <c r="J321" s="234" t="n">
        <f aca="false">DEGREES(_xlfn.ACOT( SIGN( ( COS(J$313)  *  COS($A321)))  /  SQRT(  ( TAN(J$313))^2   +  ( _xlfn.SEC(J$313)  *  TAN($A321))^2  )))</f>
        <v>90</v>
      </c>
      <c r="K321" s="210" t="n">
        <f aca="false">DEGREES(_xlfn.ACOT( SIGN( ( COS(K$313)  *  COS($A321)))  /  SQRT(  ( TAN(K$313))^2   +  ( _xlfn.SEC(K$313)  *  TAN($A321))^2  )))</f>
        <v>86.1590342837419</v>
      </c>
      <c r="L321" s="210" t="n">
        <f aca="false">DEGREES(_xlfn.ACOT( SIGN( ( COS(L$313)  *  COS($A321)))  /  SQRT(  ( TAN(L$313))^2   +  ( _xlfn.SEC(L$313)  *  TAN($A321))^2  )))</f>
        <v>82.5645277738682</v>
      </c>
      <c r="M321" s="210" t="n">
        <f aca="false">DEGREES(_xlfn.ACOT( SIGN( ( COS(M$313)  *  COS($A321)))  /  SQRT(  ( TAN(M$313))^2   +  ( _xlfn.SEC(M$313)  *  TAN($A321))^2  )))</f>
        <v>79.4547094105004</v>
      </c>
      <c r="N321" s="210" t="n">
        <f aca="false">DEGREES(_xlfn.ACOT( SIGN( ( COS(N$313)  *  COS($A321)))  /  SQRT(  ( TAN(N$313))^2   +  ( _xlfn.SEC(N$313)  *  TAN($A321))^2  )))</f>
        <v>77.0474603577776</v>
      </c>
      <c r="O321" s="210" t="n">
        <f aca="false">DEGREES(_xlfn.ACOT( SIGN( ( COS(O$313)  *  COS($A321)))  /  SQRT(  ( TAN(O$313))^2   +  ( _xlfn.SEC(O$313)  *  TAN($A321))^2  )))</f>
        <v>75.5224878140701</v>
      </c>
      <c r="P321" s="234" t="n">
        <f aca="false">DEGREES(_xlfn.ACOT( SIGN( ( COS(P$313)  *  COS($A321)))  /  SQRT(  ( TAN(P$313))^2   +  ( _xlfn.SEC(P$313)  *  TAN($A321))^2  )))</f>
        <v>75</v>
      </c>
      <c r="Q321" s="210" t="n">
        <f aca="false">DEGREES(_xlfn.ACOT( SIGN( ( COS(Q$313)  *  COS($A321)))  /  SQRT(  ( TAN(Q$313))^2   +  ( _xlfn.SEC(Q$313)  *  TAN($A321))^2  )))</f>
        <v>75.5224878140701</v>
      </c>
      <c r="R321" s="210" t="n">
        <f aca="false">DEGREES(_xlfn.ACOT( SIGN( ( COS(R$313)  *  COS($A321)))  /  SQRT(  ( TAN(R$313))^2   +  ( _xlfn.SEC(R$313)  *  TAN($A321))^2  )))</f>
        <v>77.0474603577776</v>
      </c>
      <c r="S321" s="210" t="n">
        <f aca="false">DEGREES(_xlfn.ACOT( SIGN( ( COS(S$313)  *  COS($A321)))  /  SQRT(  ( TAN(S$313))^2   +  ( _xlfn.SEC(S$313)  *  TAN($A321))^2  )))</f>
        <v>79.4547094105004</v>
      </c>
      <c r="T321" s="210" t="n">
        <f aca="false">DEGREES(_xlfn.ACOT( SIGN( ( COS(T$313)  *  COS($A321)))  /  SQRT(  ( TAN(T$313))^2   +  ( _xlfn.SEC(T$313)  *  TAN($A321))^2  )))</f>
        <v>82.5645277738682</v>
      </c>
      <c r="U321" s="210" t="n">
        <f aca="false">DEGREES(_xlfn.ACOT( SIGN( ( COS(U$313)  *  COS($A321)))  /  SQRT(  ( TAN(U$313))^2   +  ( _xlfn.SEC(U$313)  *  TAN($A321))^2  )))</f>
        <v>86.1590342837419</v>
      </c>
      <c r="V321" s="234" t="n">
        <f aca="false">DEGREES(_xlfn.ACOT( SIGN( ( COS(V$313)  *  COS($A321)))  /  SQRT(  ( TAN(V$313))^2   +  ( _xlfn.SEC(V$313)  *  TAN($A321))^2  )))</f>
        <v>90</v>
      </c>
      <c r="W321" s="210" t="n">
        <f aca="false">DEGREES(_xlfn.ACOT( SIGN( ( COS(W$313)  *  COS($A321)))  /  SQRT(  ( TAN(W$313))^2   +  ( _xlfn.SEC(W$313)  *  TAN($A321))^2  )))</f>
        <v>93.8409657162582</v>
      </c>
      <c r="X321" s="210" t="n">
        <f aca="false">DEGREES(_xlfn.ACOT( SIGN( ( COS(X$313)  *  COS($A321)))  /  SQRT(  ( TAN(X$313))^2   +  ( _xlfn.SEC(X$313)  *  TAN($A321))^2  )))</f>
        <v>97.4354722261319</v>
      </c>
      <c r="Y321" s="210" t="n">
        <f aca="false">DEGREES(_xlfn.ACOT( SIGN( ( COS(Y$313)  *  COS($A321)))  /  SQRT(  ( TAN(Y$313))^2   +  ( _xlfn.SEC(Y$313)  *  TAN($A321))^2  )))</f>
        <v>100.5452905895</v>
      </c>
      <c r="Z321" s="210" t="n">
        <f aca="false">DEGREES(_xlfn.ACOT( SIGN( ( COS(Z$313)  *  COS($A321)))  /  SQRT(  ( TAN(Z$313))^2   +  ( _xlfn.SEC(Z$313)  *  TAN($A321))^2  )))</f>
        <v>102.952539642222</v>
      </c>
      <c r="AA321" s="210" t="n">
        <f aca="false">DEGREES(_xlfn.ACOT( SIGN( ( COS(AA$313)  *  COS($A321)))  /  SQRT(  ( TAN(AA$313))^2   +  ( _xlfn.SEC(AA$313)  *  TAN($A321))^2  )))</f>
        <v>104.47751218593</v>
      </c>
      <c r="AB321" s="234" t="n">
        <f aca="false">DEGREES(_xlfn.ACOT( SIGN( ( COS(AB$313)  *  COS($A321)))  /  SQRT(  ( TAN(AB$313))^2   +  ( _xlfn.SEC(AB$313)  *  TAN($A321))^2  )))</f>
        <v>104.99999976617</v>
      </c>
      <c r="AC321" s="195" t="n">
        <f aca="false">DEGREES(_xlfn.ACOT( SIGN( ( COS(AC$313)  *  COS($A321)))  /  SQRT(  ( TAN(AC$313))^2   +  ( _xlfn.SEC(AC$313)  *  TAN($A321))^2  )))</f>
        <v>105</v>
      </c>
      <c r="AD321" s="195" t="n">
        <f aca="false">DEGREES(_xlfn.ACOT( SIGN( ( COS(AD$313)  *  COS($A321)))  /  SQRT(  ( TAN(AD$313))^2   +  ( _xlfn.SEC(AD$313)  *  TAN($A321))^2  )))</f>
        <v>105</v>
      </c>
      <c r="AE321" s="1"/>
      <c r="AF321" s="1"/>
      <c r="AG321" s="1"/>
      <c r="AH321" s="1"/>
      <c r="AI321" s="1"/>
      <c r="AJ321" s="1"/>
      <c r="AK321" s="1"/>
      <c r="AL321" s="1"/>
    </row>
    <row r="322" customFormat="false" ht="12.75" hidden="false" customHeight="true" outlineLevel="0" collapsed="false">
      <c r="A322" s="192" t="n">
        <f aca="false">RADIANS(MOD(B322-180,-360)+180)</f>
        <v>2.0943951023932</v>
      </c>
      <c r="B322" s="182" t="n">
        <v>120</v>
      </c>
      <c r="C322" s="1"/>
      <c r="D322" s="234" t="n">
        <f aca="false">DEGREES(_xlfn.ACOT( SIGN( ( COS(D$313)  *  COS($A322)))  /  SQRT(  ( TAN(D$313))^2   +  ( _xlfn.SEC(D$313)  *  TAN($A322))^2  )))</f>
        <v>119.999999994962</v>
      </c>
      <c r="E322" s="210" t="n">
        <f aca="false">DEGREES(_xlfn.ACOT( SIGN( ( COS(E$313)  *  COS($A322)))  /  SQRT(  ( TAN(E$313))^2   +  ( _xlfn.SEC(E$313)  *  TAN($A322))^2  )))</f>
        <v>118.879094017428</v>
      </c>
      <c r="F322" s="210" t="n">
        <f aca="false">DEGREES(_xlfn.ACOT( SIGN( ( COS(F$313)  *  COS($A322)))  /  SQRT(  ( TAN(F$313))^2   +  ( _xlfn.SEC(F$313)  *  TAN($A322))^2  )))</f>
        <v>115.658906273255</v>
      </c>
      <c r="G322" s="210" t="n">
        <f aca="false">DEGREES(_xlfn.ACOT( SIGN( ( COS(G$313)  *  COS($A322)))  /  SQRT(  ( TAN(G$313))^2   +  ( _xlfn.SEC(G$313)  *  TAN($A322))^2  )))</f>
        <v>110.704811054635</v>
      </c>
      <c r="H322" s="210" t="n">
        <f aca="false">DEGREES(_xlfn.ACOT( SIGN( ( COS(H$313)  *  COS($A322)))  /  SQRT(  ( TAN(H$313))^2   +  ( _xlfn.SEC(H$313)  *  TAN($A322))^2  )))</f>
        <v>104.47751218593</v>
      </c>
      <c r="I322" s="210" t="n">
        <f aca="false">DEGREES(_xlfn.ACOT( SIGN( ( COS(I$313)  *  COS($A322)))  /  SQRT(  ( TAN(I$313))^2   +  ( _xlfn.SEC(I$313)  *  TAN($A322))^2  )))</f>
        <v>97.4354722261318</v>
      </c>
      <c r="J322" s="234" t="n">
        <f aca="false">DEGREES(_xlfn.ACOT( SIGN( ( COS(J$313)  *  COS($A322)))  /  SQRT(  ( TAN(J$313))^2   +  ( _xlfn.SEC(J$313)  *  TAN($A322))^2  )))</f>
        <v>90</v>
      </c>
      <c r="K322" s="210" t="n">
        <f aca="false">DEGREES(_xlfn.ACOT( SIGN( ( COS(K$313)  *  COS($A322)))  /  SQRT(  ( TAN(K$313))^2   +  ( _xlfn.SEC(K$313)  *  TAN($A322))^2  )))</f>
        <v>82.5645277738682</v>
      </c>
      <c r="L322" s="210" t="n">
        <f aca="false">DEGREES(_xlfn.ACOT( SIGN( ( COS(L$313)  *  COS($A322)))  /  SQRT(  ( TAN(L$313))^2   +  ( _xlfn.SEC(L$313)  *  TAN($A322))^2  )))</f>
        <v>75.5224878140701</v>
      </c>
      <c r="M322" s="210" t="n">
        <f aca="false">DEGREES(_xlfn.ACOT( SIGN( ( COS(M$313)  *  COS($A322)))  /  SQRT(  ( TAN(M$313))^2   +  ( _xlfn.SEC(M$313)  *  TAN($A322))^2  )))</f>
        <v>69.2951889453646</v>
      </c>
      <c r="N322" s="210" t="n">
        <f aca="false">DEGREES(_xlfn.ACOT( SIGN( ( COS(N$313)  *  COS($A322)))  /  SQRT(  ( TAN(N$313))^2   +  ( _xlfn.SEC(N$313)  *  TAN($A322))^2  )))</f>
        <v>64.3410937267447</v>
      </c>
      <c r="O322" s="210" t="n">
        <f aca="false">DEGREES(_xlfn.ACOT( SIGN( ( COS(O$313)  *  COS($A322)))  /  SQRT(  ( TAN(O$313))^2   +  ( _xlfn.SEC(O$313)  *  TAN($A322))^2  )))</f>
        <v>61.1209059825724</v>
      </c>
      <c r="P322" s="234" t="n">
        <f aca="false">DEGREES(_xlfn.ACOT( SIGN( ( COS(P$313)  *  COS($A322)))  /  SQRT(  ( TAN(P$313))^2   +  ( _xlfn.SEC(P$313)  *  TAN($A322))^2  )))</f>
        <v>60</v>
      </c>
      <c r="Q322" s="210" t="n">
        <f aca="false">DEGREES(_xlfn.ACOT( SIGN( ( COS(Q$313)  *  COS($A322)))  /  SQRT(  ( TAN(Q$313))^2   +  ( _xlfn.SEC(Q$313)  *  TAN($A322))^2  )))</f>
        <v>61.1209059825724</v>
      </c>
      <c r="R322" s="210" t="n">
        <f aca="false">DEGREES(_xlfn.ACOT( SIGN( ( COS(R$313)  *  COS($A322)))  /  SQRT(  ( TAN(R$313))^2   +  ( _xlfn.SEC(R$313)  *  TAN($A322))^2  )))</f>
        <v>64.3410937267447</v>
      </c>
      <c r="S322" s="210" t="n">
        <f aca="false">DEGREES(_xlfn.ACOT( SIGN( ( COS(S$313)  *  COS($A322)))  /  SQRT(  ( TAN(S$313))^2   +  ( _xlfn.SEC(S$313)  *  TAN($A322))^2  )))</f>
        <v>69.2951889453646</v>
      </c>
      <c r="T322" s="210" t="n">
        <f aca="false">DEGREES(_xlfn.ACOT( SIGN( ( COS(T$313)  *  COS($A322)))  /  SQRT(  ( TAN(T$313))^2   +  ( _xlfn.SEC(T$313)  *  TAN($A322))^2  )))</f>
        <v>75.5224878140701</v>
      </c>
      <c r="U322" s="210" t="n">
        <f aca="false">DEGREES(_xlfn.ACOT( SIGN( ( COS(U$313)  *  COS($A322)))  /  SQRT(  ( TAN(U$313))^2   +  ( _xlfn.SEC(U$313)  *  TAN($A322))^2  )))</f>
        <v>82.5645277738682</v>
      </c>
      <c r="V322" s="234" t="n">
        <f aca="false">DEGREES(_xlfn.ACOT( SIGN( ( COS(V$313)  *  COS($A322)))  /  SQRT(  ( TAN(V$313))^2   +  ( _xlfn.SEC(V$313)  *  TAN($A322))^2  )))</f>
        <v>90</v>
      </c>
      <c r="W322" s="210" t="n">
        <f aca="false">DEGREES(_xlfn.ACOT( SIGN( ( COS(W$313)  *  COS($A322)))  /  SQRT(  ( TAN(W$313))^2   +  ( _xlfn.SEC(W$313)  *  TAN($A322))^2  )))</f>
        <v>97.4354722261318</v>
      </c>
      <c r="X322" s="210" t="n">
        <f aca="false">DEGREES(_xlfn.ACOT( SIGN( ( COS(X$313)  *  COS($A322)))  /  SQRT(  ( TAN(X$313))^2   +  ( _xlfn.SEC(X$313)  *  TAN($A322))^2  )))</f>
        <v>104.47751218593</v>
      </c>
      <c r="Y322" s="210" t="n">
        <f aca="false">DEGREES(_xlfn.ACOT( SIGN( ( COS(Y$313)  *  COS($A322)))  /  SQRT(  ( TAN(Y$313))^2   +  ( _xlfn.SEC(Y$313)  *  TAN($A322))^2  )))</f>
        <v>110.704811054635</v>
      </c>
      <c r="Z322" s="210" t="n">
        <f aca="false">DEGREES(_xlfn.ACOT( SIGN( ( COS(Z$313)  *  COS($A322)))  /  SQRT(  ( TAN(Z$313))^2   +  ( _xlfn.SEC(Z$313)  *  TAN($A322))^2  )))</f>
        <v>115.658906273255</v>
      </c>
      <c r="AA322" s="210" t="n">
        <f aca="false">DEGREES(_xlfn.ACOT( SIGN( ( COS(AA$313)  *  COS($A322)))  /  SQRT(  ( TAN(AA$313))^2   +  ( _xlfn.SEC(AA$313)  *  TAN($A322))^2  )))</f>
        <v>118.879094017428</v>
      </c>
      <c r="AB322" s="234" t="n">
        <f aca="false">DEGREES(_xlfn.ACOT( SIGN( ( COS(AB$313)  *  COS($A322)))  /  SQRT(  ( TAN(AB$313))^2   +  ( _xlfn.SEC(AB$313)  *  TAN($A322))^2  )))</f>
        <v>119.999999496167</v>
      </c>
      <c r="AC322" s="195" t="n">
        <f aca="false">DEGREES(_xlfn.ACOT( SIGN( ( COS(AC$313)  *  COS($A322)))  /  SQRT(  ( TAN(AC$313))^2   +  ( _xlfn.SEC(AC$313)  *  TAN($A322))^2  )))</f>
        <v>120</v>
      </c>
      <c r="AD322" s="195" t="n">
        <f aca="false">DEGREES(_xlfn.ACOT( SIGN( ( COS(AD$313)  *  COS($A322)))  /  SQRT(  ( TAN(AD$313))^2   +  ( _xlfn.SEC(AD$313)  *  TAN($A322))^2  )))</f>
        <v>120</v>
      </c>
      <c r="AE322" s="1"/>
      <c r="AF322" s="1"/>
      <c r="AG322" s="1"/>
      <c r="AH322" s="1"/>
      <c r="AI322" s="1"/>
      <c r="AJ322" s="1"/>
      <c r="AK322" s="1"/>
      <c r="AL322" s="1"/>
    </row>
    <row r="323" customFormat="false" ht="12.75" hidden="false" customHeight="true" outlineLevel="0" collapsed="false">
      <c r="A323" s="192" t="n">
        <f aca="false">RADIANS(MOD(B323-180,-360)+180)</f>
        <v>2.35619449019234</v>
      </c>
      <c r="B323" s="182" t="n">
        <v>135</v>
      </c>
      <c r="C323" s="1"/>
      <c r="D323" s="234" t="n">
        <f aca="false">DEGREES(_xlfn.ACOT( SIGN( ( COS(D$313)  *  COS($A323)))  /  SQRT(  ( TAN(D$313))^2   +  ( _xlfn.SEC(D$313)  *  TAN($A323))^2  )))</f>
        <v>134.999999991273</v>
      </c>
      <c r="E323" s="210" t="n">
        <f aca="false">DEGREES(_xlfn.ACOT( SIGN( ( COS(E$313)  *  COS($A323)))  /  SQRT(  ( TAN(E$313))^2   +  ( _xlfn.SEC(E$313)  *  TAN($A323))^2  )))</f>
        <v>133.079517141871</v>
      </c>
      <c r="F323" s="210" t="n">
        <f aca="false">DEGREES(_xlfn.ACOT( SIGN( ( COS(F$313)  *  COS($A323)))  /  SQRT(  ( TAN(F$313))^2   +  ( _xlfn.SEC(F$313)  *  TAN($A323))^2  )))</f>
        <v>127.761243907035</v>
      </c>
      <c r="G323" s="210" t="n">
        <f aca="false">DEGREES(_xlfn.ACOT( SIGN( ( COS(G$313)  *  COS($A323)))  /  SQRT(  ( TAN(G$313))^2   +  ( _xlfn.SEC(G$313)  *  TAN($A323))^2  )))</f>
        <v>120</v>
      </c>
      <c r="H323" s="210" t="n">
        <f aca="false">DEGREES(_xlfn.ACOT( SIGN( ( COS(H$313)  *  COS($A323)))  /  SQRT(  ( TAN(H$313))^2   +  ( _xlfn.SEC(H$313)  *  TAN($A323))^2  )))</f>
        <v>110.704811054635</v>
      </c>
      <c r="I323" s="210" t="n">
        <f aca="false">DEGREES(_xlfn.ACOT( SIGN( ( COS(I$313)  *  COS($A323)))  /  SQRT(  ( TAN(I$313))^2   +  ( _xlfn.SEC(I$313)  *  TAN($A323))^2  )))</f>
        <v>100.5452905895</v>
      </c>
      <c r="J323" s="234" t="n">
        <f aca="false">DEGREES(_xlfn.ACOT( SIGN( ( COS(J$313)  *  COS($A323)))  /  SQRT(  ( TAN(J$313))^2   +  ( _xlfn.SEC(J$313)  *  TAN($A323))^2  )))</f>
        <v>90</v>
      </c>
      <c r="K323" s="210" t="n">
        <f aca="false">DEGREES(_xlfn.ACOT( SIGN( ( COS(K$313)  *  COS($A323)))  /  SQRT(  ( TAN(K$313))^2   +  ( _xlfn.SEC(K$313)  *  TAN($A323))^2  )))</f>
        <v>79.4547094105004</v>
      </c>
      <c r="L323" s="210" t="n">
        <f aca="false">DEGREES(_xlfn.ACOT( SIGN( ( COS(L$313)  *  COS($A323)))  /  SQRT(  ( TAN(L$313))^2   +  ( _xlfn.SEC(L$313)  *  TAN($A323))^2  )))</f>
        <v>69.2951889453646</v>
      </c>
      <c r="M323" s="210" t="n">
        <f aca="false">DEGREES(_xlfn.ACOT( SIGN( ( COS(M$313)  *  COS($A323)))  /  SQRT(  ( TAN(M$313))^2   +  ( _xlfn.SEC(M$313)  *  TAN($A323))^2  )))</f>
        <v>60</v>
      </c>
      <c r="N323" s="210" t="n">
        <f aca="false">DEGREES(_xlfn.ACOT( SIGN( ( COS(N$313)  *  COS($A323)))  /  SQRT(  ( TAN(N$313))^2   +  ( _xlfn.SEC(N$313)  *  TAN($A323))^2  )))</f>
        <v>52.238756092965</v>
      </c>
      <c r="O323" s="210" t="n">
        <f aca="false">DEGREES(_xlfn.ACOT( SIGN( ( COS(O$313)  *  COS($A323)))  /  SQRT(  ( TAN(O$313))^2   +  ( _xlfn.SEC(O$313)  *  TAN($A323))^2  )))</f>
        <v>46.9204828581291</v>
      </c>
      <c r="P323" s="234" t="n">
        <f aca="false">DEGREES(_xlfn.ACOT( SIGN( ( COS(P$313)  *  COS($A323)))  /  SQRT(  ( TAN(P$313))^2   +  ( _xlfn.SEC(P$313)  *  TAN($A323))^2  )))</f>
        <v>45</v>
      </c>
      <c r="Q323" s="210" t="n">
        <f aca="false">DEGREES(_xlfn.ACOT( SIGN( ( COS(Q$313)  *  COS($A323)))  /  SQRT(  ( TAN(Q$313))^2   +  ( _xlfn.SEC(Q$313)  *  TAN($A323))^2  )))</f>
        <v>46.9204828581291</v>
      </c>
      <c r="R323" s="210" t="n">
        <f aca="false">DEGREES(_xlfn.ACOT( SIGN( ( COS(R$313)  *  COS($A323)))  /  SQRT(  ( TAN(R$313))^2   +  ( _xlfn.SEC(R$313)  *  TAN($A323))^2  )))</f>
        <v>52.238756092965</v>
      </c>
      <c r="S323" s="210" t="n">
        <f aca="false">DEGREES(_xlfn.ACOT( SIGN( ( COS(S$313)  *  COS($A323)))  /  SQRT(  ( TAN(S$313))^2   +  ( _xlfn.SEC(S$313)  *  TAN($A323))^2  )))</f>
        <v>60</v>
      </c>
      <c r="T323" s="210" t="n">
        <f aca="false">DEGREES(_xlfn.ACOT( SIGN( ( COS(T$313)  *  COS($A323)))  /  SQRT(  ( TAN(T$313))^2   +  ( _xlfn.SEC(T$313)  *  TAN($A323))^2  )))</f>
        <v>69.2951889453646</v>
      </c>
      <c r="U323" s="210" t="n">
        <f aca="false">DEGREES(_xlfn.ACOT( SIGN( ( COS(U$313)  *  COS($A323)))  /  SQRT(  ( TAN(U$313))^2   +  ( _xlfn.SEC(U$313)  *  TAN($A323))^2  )))</f>
        <v>79.4547094105004</v>
      </c>
      <c r="V323" s="234" t="n">
        <f aca="false">DEGREES(_xlfn.ACOT( SIGN( ( COS(V$313)  *  COS($A323)))  /  SQRT(  ( TAN(V$313))^2   +  ( _xlfn.SEC(V$313)  *  TAN($A323))^2  )))</f>
        <v>90</v>
      </c>
      <c r="W323" s="210" t="n">
        <f aca="false">DEGREES(_xlfn.ACOT( SIGN( ( COS(W$313)  *  COS($A323)))  /  SQRT(  ( TAN(W$313))^2   +  ( _xlfn.SEC(W$313)  *  TAN($A323))^2  )))</f>
        <v>100.5452905895</v>
      </c>
      <c r="X323" s="210" t="n">
        <f aca="false">DEGREES(_xlfn.ACOT( SIGN( ( COS(X$313)  *  COS($A323)))  /  SQRT(  ( TAN(X$313))^2   +  ( _xlfn.SEC(X$313)  *  TAN($A323))^2  )))</f>
        <v>110.704811054635</v>
      </c>
      <c r="Y323" s="210" t="n">
        <f aca="false">DEGREES(_xlfn.ACOT( SIGN( ( COS(Y$313)  *  COS($A323)))  /  SQRT(  ( TAN(Y$313))^2   +  ( _xlfn.SEC(Y$313)  *  TAN($A323))^2  )))</f>
        <v>120</v>
      </c>
      <c r="Z323" s="210" t="n">
        <f aca="false">DEGREES(_xlfn.ACOT( SIGN( ( COS(Z$313)  *  COS($A323)))  /  SQRT(  ( TAN(Z$313))^2   +  ( _xlfn.SEC(Z$313)  *  TAN($A323))^2  )))</f>
        <v>127.761243907035</v>
      </c>
      <c r="AA323" s="210" t="n">
        <f aca="false">DEGREES(_xlfn.ACOT( SIGN( ( COS(AA$313)  *  COS($A323)))  /  SQRT(  ( TAN(AA$313))^2   +  ( _xlfn.SEC(AA$313)  *  TAN($A323))^2  )))</f>
        <v>133.079517141871</v>
      </c>
      <c r="AB323" s="234" t="n">
        <f aca="false">DEGREES(_xlfn.ACOT( SIGN( ( COS(AB$313)  *  COS($A323)))  /  SQRT(  ( TAN(AB$313))^2   +  ( _xlfn.SEC(AB$313)  *  TAN($A323))^2  )))</f>
        <v>134.999999127335</v>
      </c>
      <c r="AC323" s="195" t="n">
        <f aca="false">DEGREES(_xlfn.ACOT( SIGN( ( COS(AC$313)  *  COS($A323)))  /  SQRT(  ( TAN(AC$313))^2   +  ( _xlfn.SEC(AC$313)  *  TAN($A323))^2  )))</f>
        <v>135</v>
      </c>
      <c r="AD323" s="195" t="n">
        <f aca="false">DEGREES(_xlfn.ACOT( SIGN( ( COS(AD$313)  *  COS($A323)))  /  SQRT(  ( TAN(AD$313))^2   +  ( _xlfn.SEC(AD$313)  *  TAN($A323))^2  )))</f>
        <v>135</v>
      </c>
      <c r="AE323" s="1"/>
      <c r="AF323" s="1"/>
      <c r="AG323" s="1"/>
      <c r="AH323" s="1"/>
      <c r="AI323" s="1"/>
      <c r="AJ323" s="1"/>
      <c r="AK323" s="1"/>
      <c r="AL323" s="1"/>
    </row>
    <row r="324" customFormat="false" ht="12.75" hidden="false" customHeight="true" outlineLevel="0" collapsed="false">
      <c r="A324" s="192" t="n">
        <f aca="false">RADIANS(MOD(B324-180,-360)+180)</f>
        <v>2.61799387799149</v>
      </c>
      <c r="B324" s="182" t="n">
        <v>150</v>
      </c>
      <c r="C324" s="1"/>
      <c r="D324" s="234" t="n">
        <f aca="false">DEGREES(_xlfn.ACOT( SIGN( ( COS(D$313)  *  COS($A324)))  /  SQRT(  ( TAN(D$313))^2   +  ( _xlfn.SEC(D$313)  *  TAN($A324))^2  )))</f>
        <v>149.999999984885</v>
      </c>
      <c r="E324" s="210" t="n">
        <f aca="false">DEGREES(_xlfn.ACOT( SIGN( ( COS(E$313)  *  COS($A324)))  /  SQRT(  ( TAN(E$313))^2   +  ( _xlfn.SEC(E$313)  *  TAN($A324))^2  )))</f>
        <v>146.774057796712</v>
      </c>
      <c r="F324" s="210" t="n">
        <f aca="false">DEGREES(_xlfn.ACOT( SIGN( ( COS(F$313)  *  COS($A324)))  /  SQRT(  ( TAN(F$313))^2   +  ( _xlfn.SEC(F$313)  *  TAN($A324))^2  )))</f>
        <v>138.590377890729</v>
      </c>
      <c r="G324" s="210" t="n">
        <f aca="false">DEGREES(_xlfn.ACOT( SIGN( ( COS(G$313)  *  COS($A324)))  /  SQRT(  ( TAN(G$313))^2   +  ( _xlfn.SEC(G$313)  *  TAN($A324))^2  )))</f>
        <v>127.761243907035</v>
      </c>
      <c r="H324" s="210" t="n">
        <f aca="false">DEGREES(_xlfn.ACOT( SIGN( ( COS(H$313)  *  COS($A324)))  /  SQRT(  ( TAN(H$313))^2   +  ( _xlfn.SEC(H$313)  *  TAN($A324))^2  )))</f>
        <v>115.658906273255</v>
      </c>
      <c r="I324" s="210" t="n">
        <f aca="false">DEGREES(_xlfn.ACOT( SIGN( ( COS(I$313)  *  COS($A324)))  /  SQRT(  ( TAN(I$313))^2   +  ( _xlfn.SEC(I$313)  *  TAN($A324))^2  )))</f>
        <v>102.952539642222</v>
      </c>
      <c r="J324" s="234" t="n">
        <f aca="false">DEGREES(_xlfn.ACOT( SIGN( ( COS(J$313)  *  COS($A324)))  /  SQRT(  ( TAN(J$313))^2   +  ( _xlfn.SEC(J$313)  *  TAN($A324))^2  )))</f>
        <v>90</v>
      </c>
      <c r="K324" s="210" t="n">
        <f aca="false">DEGREES(_xlfn.ACOT( SIGN( ( COS(K$313)  *  COS($A324)))  /  SQRT(  ( TAN(K$313))^2   +  ( _xlfn.SEC(K$313)  *  TAN($A324))^2  )))</f>
        <v>77.0474603577776</v>
      </c>
      <c r="L324" s="210" t="n">
        <f aca="false">DEGREES(_xlfn.ACOT( SIGN( ( COS(L$313)  *  COS($A324)))  /  SQRT(  ( TAN(L$313))^2   +  ( _xlfn.SEC(L$313)  *  TAN($A324))^2  )))</f>
        <v>64.3410937267447</v>
      </c>
      <c r="M324" s="210" t="n">
        <f aca="false">DEGREES(_xlfn.ACOT( SIGN( ( COS(M$313)  *  COS($A324)))  /  SQRT(  ( TAN(M$313))^2   +  ( _xlfn.SEC(M$313)  *  TAN($A324))^2  )))</f>
        <v>52.238756092965</v>
      </c>
      <c r="N324" s="210" t="n">
        <f aca="false">DEGREES(_xlfn.ACOT( SIGN( ( COS(N$313)  *  COS($A324)))  /  SQRT(  ( TAN(N$313))^2   +  ( _xlfn.SEC(N$313)  *  TAN($A324))^2  )))</f>
        <v>41.4096221092709</v>
      </c>
      <c r="O324" s="210" t="n">
        <f aca="false">DEGREES(_xlfn.ACOT( SIGN( ( COS(O$313)  *  COS($A324)))  /  SQRT(  ( TAN(O$313))^2   +  ( _xlfn.SEC(O$313)  *  TAN($A324))^2  )))</f>
        <v>33.2259422032876</v>
      </c>
      <c r="P324" s="234" t="n">
        <f aca="false">DEGREES(_xlfn.ACOT( SIGN( ( COS(P$313)  *  COS($A324)))  /  SQRT(  ( TAN(P$313))^2   +  ( _xlfn.SEC(P$313)  *  TAN($A324))^2  )))</f>
        <v>30</v>
      </c>
      <c r="Q324" s="210" t="n">
        <f aca="false">DEGREES(_xlfn.ACOT( SIGN( ( COS(Q$313)  *  COS($A324)))  /  SQRT(  ( TAN(Q$313))^2   +  ( _xlfn.SEC(Q$313)  *  TAN($A324))^2  )))</f>
        <v>33.2259422032876</v>
      </c>
      <c r="R324" s="210" t="n">
        <f aca="false">DEGREES(_xlfn.ACOT( SIGN( ( COS(R$313)  *  COS($A324)))  /  SQRT(  ( TAN(R$313))^2   +  ( _xlfn.SEC(R$313)  *  TAN($A324))^2  )))</f>
        <v>41.4096221092709</v>
      </c>
      <c r="S324" s="210" t="n">
        <f aca="false">DEGREES(_xlfn.ACOT( SIGN( ( COS(S$313)  *  COS($A324)))  /  SQRT(  ( TAN(S$313))^2   +  ( _xlfn.SEC(S$313)  *  TAN($A324))^2  )))</f>
        <v>52.238756092965</v>
      </c>
      <c r="T324" s="210" t="n">
        <f aca="false">DEGREES(_xlfn.ACOT( SIGN( ( COS(T$313)  *  COS($A324)))  /  SQRT(  ( TAN(T$313))^2   +  ( _xlfn.SEC(T$313)  *  TAN($A324))^2  )))</f>
        <v>64.3410937267447</v>
      </c>
      <c r="U324" s="210" t="n">
        <f aca="false">DEGREES(_xlfn.ACOT( SIGN( ( COS(U$313)  *  COS($A324)))  /  SQRT(  ( TAN(U$313))^2   +  ( _xlfn.SEC(U$313)  *  TAN($A324))^2  )))</f>
        <v>77.0474603577776</v>
      </c>
      <c r="V324" s="234" t="n">
        <f aca="false">DEGREES(_xlfn.ACOT( SIGN( ( COS(V$313)  *  COS($A324)))  /  SQRT(  ( TAN(V$313))^2   +  ( _xlfn.SEC(V$313)  *  TAN($A324))^2  )))</f>
        <v>90</v>
      </c>
      <c r="W324" s="210" t="n">
        <f aca="false">DEGREES(_xlfn.ACOT( SIGN( ( COS(W$313)  *  COS($A324)))  /  SQRT(  ( TAN(W$313))^2   +  ( _xlfn.SEC(W$313)  *  TAN($A324))^2  )))</f>
        <v>102.952539642222</v>
      </c>
      <c r="X324" s="210" t="n">
        <f aca="false">DEGREES(_xlfn.ACOT( SIGN( ( COS(X$313)  *  COS($A324)))  /  SQRT(  ( TAN(X$313))^2   +  ( _xlfn.SEC(X$313)  *  TAN($A324))^2  )))</f>
        <v>115.658906273255</v>
      </c>
      <c r="Y324" s="210" t="n">
        <f aca="false">DEGREES(_xlfn.ACOT( SIGN( ( COS(Y$313)  *  COS($A324)))  /  SQRT(  ( TAN(Y$313))^2   +  ( _xlfn.SEC(Y$313)  *  TAN($A324))^2  )))</f>
        <v>127.761243907035</v>
      </c>
      <c r="Z324" s="210" t="n">
        <f aca="false">DEGREES(_xlfn.ACOT( SIGN( ( COS(Z$313)  *  COS($A324)))  /  SQRT(  ( TAN(Z$313))^2   +  ( _xlfn.SEC(Z$313)  *  TAN($A324))^2  )))</f>
        <v>138.590377890729</v>
      </c>
      <c r="AA324" s="210" t="n">
        <f aca="false">DEGREES(_xlfn.ACOT( SIGN( ( COS(AA$313)  *  COS($A324)))  /  SQRT(  ( TAN(AA$313))^2   +  ( _xlfn.SEC(AA$313)  *  TAN($A324))^2  )))</f>
        <v>146.774057796712</v>
      </c>
      <c r="AB324" s="234" t="n">
        <f aca="false">DEGREES(_xlfn.ACOT( SIGN( ( COS(AB$313)  *  COS($A324)))  /  SQRT(  ( TAN(AB$313))^2   +  ( _xlfn.SEC(AB$313)  *  TAN($A324))^2  )))</f>
        <v>149.999998488501</v>
      </c>
      <c r="AC324" s="195" t="n">
        <f aca="false">DEGREES(_xlfn.ACOT( SIGN( ( COS(AC$313)  *  COS($A324)))  /  SQRT(  ( TAN(AC$313))^2   +  ( _xlfn.SEC(AC$313)  *  TAN($A324))^2  )))</f>
        <v>150</v>
      </c>
      <c r="AD324" s="195" t="n">
        <f aca="false">DEGREES(_xlfn.ACOT( SIGN( ( COS(AD$313)  *  COS($A324)))  /  SQRT(  ( TAN(AD$313))^2   +  ( _xlfn.SEC(AD$313)  *  TAN($A324))^2  )))</f>
        <v>150</v>
      </c>
      <c r="AE324" s="1"/>
      <c r="AF324" s="1"/>
      <c r="AG324" s="1"/>
      <c r="AH324" s="1"/>
      <c r="AI324" s="1"/>
      <c r="AJ324" s="1"/>
      <c r="AK324" s="1"/>
      <c r="AL324" s="1"/>
    </row>
    <row r="325" customFormat="false" ht="12.75" hidden="false" customHeight="true" outlineLevel="0" collapsed="false">
      <c r="A325" s="192" t="n">
        <f aca="false">RADIANS(MOD(B325-180,-360)+180)</f>
        <v>2.87979326579064</v>
      </c>
      <c r="B325" s="182" t="n">
        <v>165</v>
      </c>
      <c r="C325" s="1"/>
      <c r="D325" s="234" t="n">
        <f aca="false">DEGREES(_xlfn.ACOT( SIGN( ( COS(D$313)  *  COS($A325)))  /  SQRT(  ( TAN(D$313))^2   +  ( _xlfn.SEC(D$313)  *  TAN($A325))^2  )))</f>
        <v>164.999999967432</v>
      </c>
      <c r="E325" s="210" t="n">
        <f aca="false">DEGREES(_xlfn.ACOT( SIGN( ( COS(E$313)  *  COS($A325)))  /  SQRT(  ( TAN(E$313))^2   +  ( _xlfn.SEC(E$313)  *  TAN($A325))^2  )))</f>
        <v>158.909418821001</v>
      </c>
      <c r="F325" s="210" t="n">
        <f aca="false">DEGREES(_xlfn.ACOT( SIGN( ( COS(F$313)  *  COS($A325)))  /  SQRT(  ( TAN(F$313))^2   +  ( _xlfn.SEC(F$313)  *  TAN($A325))^2  )))</f>
        <v>146.774057796712</v>
      </c>
      <c r="G325" s="210" t="n">
        <f aca="false">DEGREES(_xlfn.ACOT( SIGN( ( COS(G$313)  *  COS($A325)))  /  SQRT(  ( TAN(G$313))^2   +  ( _xlfn.SEC(G$313)  *  TAN($A325))^2  )))</f>
        <v>133.079517141871</v>
      </c>
      <c r="H325" s="210" t="n">
        <f aca="false">DEGREES(_xlfn.ACOT( SIGN( ( COS(H$313)  *  COS($A325)))  /  SQRT(  ( TAN(H$313))^2   +  ( _xlfn.SEC(H$313)  *  TAN($A325))^2  )))</f>
        <v>118.879094017428</v>
      </c>
      <c r="I325" s="210" t="n">
        <f aca="false">DEGREES(_xlfn.ACOT( SIGN( ( COS(I$313)  *  COS($A325)))  /  SQRT(  ( TAN(I$313))^2   +  ( _xlfn.SEC(I$313)  *  TAN($A325))^2  )))</f>
        <v>104.47751218593</v>
      </c>
      <c r="J325" s="234" t="n">
        <f aca="false">DEGREES(_xlfn.ACOT( SIGN( ( COS(J$313)  *  COS($A325)))  /  SQRT(  ( TAN(J$313))^2   +  ( _xlfn.SEC(J$313)  *  TAN($A325))^2  )))</f>
        <v>90</v>
      </c>
      <c r="K325" s="210" t="n">
        <f aca="false">DEGREES(_xlfn.ACOT( SIGN( ( COS(K$313)  *  COS($A325)))  /  SQRT(  ( TAN(K$313))^2   +  ( _xlfn.SEC(K$313)  *  TAN($A325))^2  )))</f>
        <v>75.5224878140701</v>
      </c>
      <c r="L325" s="210" t="n">
        <f aca="false">DEGREES(_xlfn.ACOT( SIGN( ( COS(L$313)  *  COS($A325)))  /  SQRT(  ( TAN(L$313))^2   +  ( _xlfn.SEC(L$313)  *  TAN($A325))^2  )))</f>
        <v>61.1209059825724</v>
      </c>
      <c r="M325" s="210" t="n">
        <f aca="false">DEGREES(_xlfn.ACOT( SIGN( ( COS(M$313)  *  COS($A325)))  /  SQRT(  ( TAN(M$313))^2   +  ( _xlfn.SEC(M$313)  *  TAN($A325))^2  )))</f>
        <v>46.9204828581291</v>
      </c>
      <c r="N325" s="210" t="n">
        <f aca="false">DEGREES(_xlfn.ACOT( SIGN( ( COS(N$313)  *  COS($A325)))  /  SQRT(  ( TAN(N$313))^2   +  ( _xlfn.SEC(N$313)  *  TAN($A325))^2  )))</f>
        <v>33.2259422032876</v>
      </c>
      <c r="O325" s="210" t="n">
        <f aca="false">DEGREES(_xlfn.ACOT( SIGN( ( COS(O$313)  *  COS($A325)))  /  SQRT(  ( TAN(O$313))^2   +  ( _xlfn.SEC(O$313)  *  TAN($A325))^2  )))</f>
        <v>21.0905811789991</v>
      </c>
      <c r="P325" s="234" t="n">
        <f aca="false">DEGREES(_xlfn.ACOT( SIGN( ( COS(P$313)  *  COS($A325)))  /  SQRT(  ( TAN(P$313))^2   +  ( _xlfn.SEC(P$313)  *  TAN($A325))^2  )))</f>
        <v>15</v>
      </c>
      <c r="Q325" s="210" t="n">
        <f aca="false">DEGREES(_xlfn.ACOT( SIGN( ( COS(Q$313)  *  COS($A325)))  /  SQRT(  ( TAN(Q$313))^2   +  ( _xlfn.SEC(Q$313)  *  TAN($A325))^2  )))</f>
        <v>21.0905811789991</v>
      </c>
      <c r="R325" s="210" t="n">
        <f aca="false">DEGREES(_xlfn.ACOT( SIGN( ( COS(R$313)  *  COS($A325)))  /  SQRT(  ( TAN(R$313))^2   +  ( _xlfn.SEC(R$313)  *  TAN($A325))^2  )))</f>
        <v>33.2259422032876</v>
      </c>
      <c r="S325" s="210" t="n">
        <f aca="false">DEGREES(_xlfn.ACOT( SIGN( ( COS(S$313)  *  COS($A325)))  /  SQRT(  ( TAN(S$313))^2   +  ( _xlfn.SEC(S$313)  *  TAN($A325))^2  )))</f>
        <v>46.9204828581291</v>
      </c>
      <c r="T325" s="210" t="n">
        <f aca="false">DEGREES(_xlfn.ACOT( SIGN( ( COS(T$313)  *  COS($A325)))  /  SQRT(  ( TAN(T$313))^2   +  ( _xlfn.SEC(T$313)  *  TAN($A325))^2  )))</f>
        <v>61.1209059825724</v>
      </c>
      <c r="U325" s="210" t="n">
        <f aca="false">DEGREES(_xlfn.ACOT( SIGN( ( COS(U$313)  *  COS($A325)))  /  SQRT(  ( TAN(U$313))^2   +  ( _xlfn.SEC(U$313)  *  TAN($A325))^2  )))</f>
        <v>75.5224878140701</v>
      </c>
      <c r="V325" s="234" t="n">
        <f aca="false">DEGREES(_xlfn.ACOT( SIGN( ( COS(V$313)  *  COS($A325)))  /  SQRT(  ( TAN(V$313))^2   +  ( _xlfn.SEC(V$313)  *  TAN($A325))^2  )))</f>
        <v>90</v>
      </c>
      <c r="W325" s="210" t="n">
        <f aca="false">DEGREES(_xlfn.ACOT( SIGN( ( COS(W$313)  *  COS($A325)))  /  SQRT(  ( TAN(W$313))^2   +  ( _xlfn.SEC(W$313)  *  TAN($A325))^2  )))</f>
        <v>104.47751218593</v>
      </c>
      <c r="X325" s="210" t="n">
        <f aca="false">DEGREES(_xlfn.ACOT( SIGN( ( COS(X$313)  *  COS($A325)))  /  SQRT(  ( TAN(X$313))^2   +  ( _xlfn.SEC(X$313)  *  TAN($A325))^2  )))</f>
        <v>118.879094017428</v>
      </c>
      <c r="Y325" s="210" t="n">
        <f aca="false">DEGREES(_xlfn.ACOT( SIGN( ( COS(Y$313)  *  COS($A325)))  /  SQRT(  ( TAN(Y$313))^2   +  ( _xlfn.SEC(Y$313)  *  TAN($A325))^2  )))</f>
        <v>133.079517141871</v>
      </c>
      <c r="Z325" s="210" t="n">
        <f aca="false">DEGREES(_xlfn.ACOT( SIGN( ( COS(Z$313)  *  COS($A325)))  /  SQRT(  ( TAN(Z$313))^2   +  ( _xlfn.SEC(Z$313)  *  TAN($A325))^2  )))</f>
        <v>146.774057796712</v>
      </c>
      <c r="AA325" s="210" t="n">
        <f aca="false">DEGREES(_xlfn.ACOT( SIGN( ( COS(AA$313)  *  COS($A325)))  /  SQRT(  ( TAN(AA$313))^2   +  ( _xlfn.SEC(AA$313)  *  TAN($A325))^2  )))</f>
        <v>158.909418821001</v>
      </c>
      <c r="AB325" s="234" t="n">
        <f aca="false">DEGREES(_xlfn.ACOT( SIGN( ( COS(AB$313)  *  COS($A325)))  /  SQRT(  ( TAN(AB$313))^2   +  ( _xlfn.SEC(AB$313)  *  TAN($A325))^2  )))</f>
        <v>164.999996743172</v>
      </c>
      <c r="AC325" s="195" t="n">
        <f aca="false">DEGREES(_xlfn.ACOT( SIGN( ( COS(AC$313)  *  COS($A325)))  /  SQRT(  ( TAN(AC$313))^2   +  ( _xlfn.SEC(AC$313)  *  TAN($A325))^2  )))</f>
        <v>165</v>
      </c>
      <c r="AD325" s="195" t="n">
        <f aca="false">DEGREES(_xlfn.ACOT( SIGN( ( COS(AD$313)  *  COS($A325)))  /  SQRT(  ( TAN(AD$313))^2   +  ( _xlfn.SEC(AD$313)  *  TAN($A325))^2  )))</f>
        <v>165</v>
      </c>
      <c r="AE325" s="1"/>
      <c r="AF325" s="1"/>
      <c r="AG325" s="1"/>
      <c r="AH325" s="1"/>
      <c r="AI325" s="1"/>
      <c r="AJ325" s="1"/>
      <c r="AK325" s="1"/>
      <c r="AL325" s="1"/>
    </row>
    <row r="326" customFormat="false" ht="12.75" hidden="false" customHeight="true" outlineLevel="0" collapsed="false">
      <c r="A326" s="192" t="n">
        <f aca="false">RADIANS(MOD(B326-180,-360)+180)</f>
        <v>3.14159265358979</v>
      </c>
      <c r="B326" s="182" t="n">
        <v>180</v>
      </c>
      <c r="C326" s="1"/>
      <c r="D326" s="234" t="n">
        <f aca="false">DEGREES(_xlfn.ACOT( SIGN( ( COS(D$313)  *  COS($A326)))  /  SQRT(  ( TAN(D$313))^2   +  ( _xlfn.SEC(D$313)  *  TAN($A326))^2  )))</f>
        <v>179.999</v>
      </c>
      <c r="E326" s="234" t="n">
        <f aca="false">DEGREES(_xlfn.ACOT( SIGN( ( COS(E$313)  *  COS($A326)))  /  SQRT(  ( TAN(E$313))^2   +  ( _xlfn.SEC(E$313)  *  TAN($A326))^2  )))</f>
        <v>165</v>
      </c>
      <c r="F326" s="234" t="n">
        <f aca="false">DEGREES(_xlfn.ACOT( SIGN( ( COS(F$313)  *  COS($A326)))  /  SQRT(  ( TAN(F$313))^2   +  ( _xlfn.SEC(F$313)  *  TAN($A326))^2  )))</f>
        <v>150</v>
      </c>
      <c r="G326" s="234" t="n">
        <f aca="false">DEGREES(_xlfn.ACOT( SIGN( ( COS(G$313)  *  COS($A326)))  /  SQRT(  ( TAN(G$313))^2   +  ( _xlfn.SEC(G$313)  *  TAN($A326))^2  )))</f>
        <v>135</v>
      </c>
      <c r="H326" s="234" t="n">
        <f aca="false">DEGREES(_xlfn.ACOT( SIGN( ( COS(H$313)  *  COS($A326)))  /  SQRT(  ( TAN(H$313))^2   +  ( _xlfn.SEC(H$313)  *  TAN($A326))^2  )))</f>
        <v>120</v>
      </c>
      <c r="I326" s="234" t="n">
        <f aca="false">DEGREES(_xlfn.ACOT( SIGN( ( COS(I$313)  *  COS($A326)))  /  SQRT(  ( TAN(I$313))^2   +  ( _xlfn.SEC(I$313)  *  TAN($A326))^2  )))</f>
        <v>105</v>
      </c>
      <c r="J326" s="234" t="n">
        <f aca="false">DEGREES(_xlfn.ACOT( SIGN( ( COS(J$313)  *  COS($A326)))  /  SQRT(  ( TAN(J$313))^2   +  ( _xlfn.SEC(J$313)  *  TAN($A326))^2  )))</f>
        <v>90</v>
      </c>
      <c r="K326" s="234" t="n">
        <f aca="false">DEGREES(_xlfn.ACOT( SIGN( ( COS(K$313)  *  COS($A326)))  /  SQRT(  ( TAN(K$313))^2   +  ( _xlfn.SEC(K$313)  *  TAN($A326))^2  )))</f>
        <v>75</v>
      </c>
      <c r="L326" s="234" t="n">
        <f aca="false">DEGREES(_xlfn.ACOT( SIGN( ( COS(L$313)  *  COS($A326)))  /  SQRT(  ( TAN(L$313))^2   +  ( _xlfn.SEC(L$313)  *  TAN($A326))^2  )))</f>
        <v>60</v>
      </c>
      <c r="M326" s="234" t="n">
        <f aca="false">DEGREES(_xlfn.ACOT( SIGN( ( COS(M$313)  *  COS($A326)))  /  SQRT(  ( TAN(M$313))^2   +  ( _xlfn.SEC(M$313)  *  TAN($A326))^2  )))</f>
        <v>45</v>
      </c>
      <c r="N326" s="234" t="n">
        <f aca="false">DEGREES(_xlfn.ACOT( SIGN( ( COS(N$313)  *  COS($A326)))  /  SQRT(  ( TAN(N$313))^2   +  ( _xlfn.SEC(N$313)  *  TAN($A326))^2  )))</f>
        <v>30</v>
      </c>
      <c r="O326" s="234" t="n">
        <f aca="false">DEGREES(_xlfn.ACOT( SIGN( ( COS(O$313)  *  COS($A326)))  /  SQRT(  ( TAN(O$313))^2   +  ( _xlfn.SEC(O$313)  *  TAN($A326))^2  )))</f>
        <v>15</v>
      </c>
      <c r="P326" s="234" t="n">
        <f aca="false">DEGREES(_xlfn.ACOT( SIGN( ( COS(P$313)  *  COS($A326)))  /  SQRT(  ( TAN(P$313))^2   +  ( _xlfn.SEC(P$313)  *  TAN($A326))^2  )))</f>
        <v>1.27222187258541E-014</v>
      </c>
      <c r="Q326" s="234" t="n">
        <f aca="false">DEGREES(_xlfn.ACOT( SIGN( ( COS(Q$313)  *  COS($A326)))  /  SQRT(  ( TAN(Q$313))^2   +  ( _xlfn.SEC(Q$313)  *  TAN($A326))^2  )))</f>
        <v>15</v>
      </c>
      <c r="R326" s="234" t="n">
        <f aca="false">DEGREES(_xlfn.ACOT( SIGN( ( COS(R$313)  *  COS($A326)))  /  SQRT(  ( TAN(R$313))^2   +  ( _xlfn.SEC(R$313)  *  TAN($A326))^2  )))</f>
        <v>30</v>
      </c>
      <c r="S326" s="234" t="n">
        <f aca="false">DEGREES(_xlfn.ACOT( SIGN( ( COS(S$313)  *  COS($A326)))  /  SQRT(  ( TAN(S$313))^2   +  ( _xlfn.SEC(S$313)  *  TAN($A326))^2  )))</f>
        <v>45</v>
      </c>
      <c r="T326" s="234" t="n">
        <f aca="false">DEGREES(_xlfn.ACOT( SIGN( ( COS(T$313)  *  COS($A326)))  /  SQRT(  ( TAN(T$313))^2   +  ( _xlfn.SEC(T$313)  *  TAN($A326))^2  )))</f>
        <v>60</v>
      </c>
      <c r="U326" s="234" t="n">
        <f aca="false">DEGREES(_xlfn.ACOT( SIGN( ( COS(U$313)  *  COS($A326)))  /  SQRT(  ( TAN(U$313))^2   +  ( _xlfn.SEC(U$313)  *  TAN($A326))^2  )))</f>
        <v>75</v>
      </c>
      <c r="V326" s="234" t="n">
        <f aca="false">DEGREES(_xlfn.ACOT( SIGN( ( COS(V$313)  *  COS($A326)))  /  SQRT(  ( TAN(V$313))^2   +  ( _xlfn.SEC(V$313)  *  TAN($A326))^2  )))</f>
        <v>90</v>
      </c>
      <c r="W326" s="234" t="n">
        <f aca="false">DEGREES(_xlfn.ACOT( SIGN( ( COS(W$313)  *  COS($A326)))  /  SQRT(  ( TAN(W$313))^2   +  ( _xlfn.SEC(W$313)  *  TAN($A326))^2  )))</f>
        <v>105</v>
      </c>
      <c r="X326" s="234" t="n">
        <f aca="false">DEGREES(_xlfn.ACOT( SIGN( ( COS(X$313)  *  COS($A326)))  /  SQRT(  ( TAN(X$313))^2   +  ( _xlfn.SEC(X$313)  *  TAN($A326))^2  )))</f>
        <v>120</v>
      </c>
      <c r="Y326" s="234" t="n">
        <f aca="false">DEGREES(_xlfn.ACOT( SIGN( ( COS(Y$313)  *  COS($A326)))  /  SQRT(  ( TAN(Y$313))^2   +  ( _xlfn.SEC(Y$313)  *  TAN($A326))^2  )))</f>
        <v>135</v>
      </c>
      <c r="Z326" s="234" t="n">
        <f aca="false">DEGREES(_xlfn.ACOT( SIGN( ( COS(Z$313)  *  COS($A326)))  /  SQRT(  ( TAN(Z$313))^2   +  ( _xlfn.SEC(Z$313)  *  TAN($A326))^2  )))</f>
        <v>150</v>
      </c>
      <c r="AA326" s="234" t="n">
        <f aca="false">DEGREES(_xlfn.ACOT( SIGN( ( COS(AA$313)  *  COS($A326)))  /  SQRT(  ( TAN(AA$313))^2   +  ( _xlfn.SEC(AA$313)  *  TAN($A326))^2  )))</f>
        <v>165</v>
      </c>
      <c r="AB326" s="234" t="n">
        <f aca="false">DEGREES(_xlfn.ACOT( SIGN( ( COS(AB$313)  *  COS($A326)))  /  SQRT(  ( TAN(AB$313))^2   +  ( _xlfn.SEC(AB$313)  *  TAN($A326))^2  )))</f>
        <v>179.99</v>
      </c>
      <c r="AC326" s="195" t="n">
        <f aca="false">DEGREES(_xlfn.ACOT( SIGN( ( COS(AC$313)  *  COS($A326)))  /  SQRT(  ( TAN(AC$313))^2   +  ( _xlfn.SEC(AC$313)  *  TAN($A326))^2  )))</f>
        <v>180</v>
      </c>
      <c r="AD326" s="195" t="n">
        <f aca="false">DEGREES(_xlfn.ACOT( SIGN( ( COS(AD$313)  *  COS($A326)))  /  SQRT(  ( TAN(AD$313))^2   +  ( _xlfn.SEC(AD$313)  *  TAN($A326))^2  )))</f>
        <v>180</v>
      </c>
      <c r="AE326" s="1"/>
      <c r="AF326" s="1"/>
      <c r="AG326" s="1"/>
      <c r="AH326" s="1"/>
      <c r="AI326" s="1"/>
      <c r="AJ326" s="1"/>
      <c r="AK326" s="1"/>
      <c r="AL326" s="1"/>
    </row>
    <row r="327" customFormat="false" ht="12.75" hidden="false" customHeight="true" outlineLevel="0" collapsed="false">
      <c r="A327" s="193" t="n">
        <f aca="false">RADIANS(MOD(B327-180,-360)+180)</f>
        <v>-2.87979326579064</v>
      </c>
      <c r="B327" s="182" t="n">
        <v>195</v>
      </c>
      <c r="C327" s="1"/>
      <c r="D327" s="234" t="n">
        <f aca="false">DEGREES(_xlfn.ACOT( SIGN( ( COS(D$313)  *  COS($A327)))  /  SQRT(  ( TAN(D$313))^2   +  ( _xlfn.SEC(D$313)  *  TAN($A327))^2  )))</f>
        <v>164.999999967432</v>
      </c>
      <c r="E327" s="210" t="n">
        <f aca="false">DEGREES(_xlfn.ACOT( SIGN( ( COS(E$313)  *  COS($A327)))  /  SQRT(  ( TAN(E$313))^2   +  ( _xlfn.SEC(E$313)  *  TAN($A327))^2  )))</f>
        <v>158.909418821001</v>
      </c>
      <c r="F327" s="210" t="n">
        <f aca="false">DEGREES(_xlfn.ACOT( SIGN( ( COS(F$313)  *  COS($A327)))  /  SQRT(  ( TAN(F$313))^2   +  ( _xlfn.SEC(F$313)  *  TAN($A327))^2  )))</f>
        <v>146.774057796712</v>
      </c>
      <c r="G327" s="210" t="n">
        <f aca="false">DEGREES(_xlfn.ACOT( SIGN( ( COS(G$313)  *  COS($A327)))  /  SQRT(  ( TAN(G$313))^2   +  ( _xlfn.SEC(G$313)  *  TAN($A327))^2  )))</f>
        <v>133.079517141871</v>
      </c>
      <c r="H327" s="210" t="n">
        <f aca="false">DEGREES(_xlfn.ACOT( SIGN( ( COS(H$313)  *  COS($A327)))  /  SQRT(  ( TAN(H$313))^2   +  ( _xlfn.SEC(H$313)  *  TAN($A327))^2  )))</f>
        <v>118.879094017428</v>
      </c>
      <c r="I327" s="210" t="n">
        <f aca="false">DEGREES(_xlfn.ACOT( SIGN( ( COS(I$313)  *  COS($A327)))  /  SQRT(  ( TAN(I$313))^2   +  ( _xlfn.SEC(I$313)  *  TAN($A327))^2  )))</f>
        <v>104.47751218593</v>
      </c>
      <c r="J327" s="234" t="n">
        <f aca="false">DEGREES(_xlfn.ACOT( SIGN( ( COS(J$313)  *  COS($A327)))  /  SQRT(  ( TAN(J$313))^2   +  ( _xlfn.SEC(J$313)  *  TAN($A327))^2  )))</f>
        <v>90</v>
      </c>
      <c r="K327" s="210" t="n">
        <f aca="false">DEGREES(_xlfn.ACOT( SIGN( ( COS(K$313)  *  COS($A327)))  /  SQRT(  ( TAN(K$313))^2   +  ( _xlfn.SEC(K$313)  *  TAN($A327))^2  )))</f>
        <v>75.5224878140701</v>
      </c>
      <c r="L327" s="210" t="n">
        <f aca="false">DEGREES(_xlfn.ACOT( SIGN( ( COS(L$313)  *  COS($A327)))  /  SQRT(  ( TAN(L$313))^2   +  ( _xlfn.SEC(L$313)  *  TAN($A327))^2  )))</f>
        <v>61.1209059825724</v>
      </c>
      <c r="M327" s="210" t="n">
        <f aca="false">DEGREES(_xlfn.ACOT( SIGN( ( COS(M$313)  *  COS($A327)))  /  SQRT(  ( TAN(M$313))^2   +  ( _xlfn.SEC(M$313)  *  TAN($A327))^2  )))</f>
        <v>46.9204828581291</v>
      </c>
      <c r="N327" s="210" t="n">
        <f aca="false">DEGREES(_xlfn.ACOT( SIGN( ( COS(N$313)  *  COS($A327)))  /  SQRT(  ( TAN(N$313))^2   +  ( _xlfn.SEC(N$313)  *  TAN($A327))^2  )))</f>
        <v>33.2259422032876</v>
      </c>
      <c r="O327" s="210" t="n">
        <f aca="false">DEGREES(_xlfn.ACOT( SIGN( ( COS(O$313)  *  COS($A327)))  /  SQRT(  ( TAN(O$313))^2   +  ( _xlfn.SEC(O$313)  *  TAN($A327))^2  )))</f>
        <v>21.0905811789991</v>
      </c>
      <c r="P327" s="234" t="n">
        <f aca="false">DEGREES(_xlfn.ACOT( SIGN( ( COS(P$313)  *  COS($A327)))  /  SQRT(  ( TAN(P$313))^2   +  ( _xlfn.SEC(P$313)  *  TAN($A327))^2  )))</f>
        <v>15</v>
      </c>
      <c r="Q327" s="210" t="n">
        <f aca="false">DEGREES(_xlfn.ACOT( SIGN( ( COS(Q$313)  *  COS($A327)))  /  SQRT(  ( TAN(Q$313))^2   +  ( _xlfn.SEC(Q$313)  *  TAN($A327))^2  )))</f>
        <v>21.0905811789991</v>
      </c>
      <c r="R327" s="210" t="n">
        <f aca="false">DEGREES(_xlfn.ACOT( SIGN( ( COS(R$313)  *  COS($A327)))  /  SQRT(  ( TAN(R$313))^2   +  ( _xlfn.SEC(R$313)  *  TAN($A327))^2  )))</f>
        <v>33.2259422032876</v>
      </c>
      <c r="S327" s="210" t="n">
        <f aca="false">DEGREES(_xlfn.ACOT( SIGN( ( COS(S$313)  *  COS($A327)))  /  SQRT(  ( TAN(S$313))^2   +  ( _xlfn.SEC(S$313)  *  TAN($A327))^2  )))</f>
        <v>46.9204828581291</v>
      </c>
      <c r="T327" s="210" t="n">
        <f aca="false">DEGREES(_xlfn.ACOT( SIGN( ( COS(T$313)  *  COS($A327)))  /  SQRT(  ( TAN(T$313))^2   +  ( _xlfn.SEC(T$313)  *  TAN($A327))^2  )))</f>
        <v>61.1209059825724</v>
      </c>
      <c r="U327" s="210" t="n">
        <f aca="false">DEGREES(_xlfn.ACOT( SIGN( ( COS(U$313)  *  COS($A327)))  /  SQRT(  ( TAN(U$313))^2   +  ( _xlfn.SEC(U$313)  *  TAN($A327))^2  )))</f>
        <v>75.5224878140701</v>
      </c>
      <c r="V327" s="234" t="n">
        <f aca="false">DEGREES(_xlfn.ACOT( SIGN( ( COS(V$313)  *  COS($A327)))  /  SQRT(  ( TAN(V$313))^2   +  ( _xlfn.SEC(V$313)  *  TAN($A327))^2  )))</f>
        <v>90</v>
      </c>
      <c r="W327" s="210" t="n">
        <f aca="false">DEGREES(_xlfn.ACOT( SIGN( ( COS(W$313)  *  COS($A327)))  /  SQRT(  ( TAN(W$313))^2   +  ( _xlfn.SEC(W$313)  *  TAN($A327))^2  )))</f>
        <v>104.47751218593</v>
      </c>
      <c r="X327" s="210" t="n">
        <f aca="false">DEGREES(_xlfn.ACOT( SIGN( ( COS(X$313)  *  COS($A327)))  /  SQRT(  ( TAN(X$313))^2   +  ( _xlfn.SEC(X$313)  *  TAN($A327))^2  )))</f>
        <v>118.879094017428</v>
      </c>
      <c r="Y327" s="210" t="n">
        <f aca="false">DEGREES(_xlfn.ACOT( SIGN( ( COS(Y$313)  *  COS($A327)))  /  SQRT(  ( TAN(Y$313))^2   +  ( _xlfn.SEC(Y$313)  *  TAN($A327))^2  )))</f>
        <v>133.079517141871</v>
      </c>
      <c r="Z327" s="210" t="n">
        <f aca="false">DEGREES(_xlfn.ACOT( SIGN( ( COS(Z$313)  *  COS($A327)))  /  SQRT(  ( TAN(Z$313))^2   +  ( _xlfn.SEC(Z$313)  *  TAN($A327))^2  )))</f>
        <v>146.774057796712</v>
      </c>
      <c r="AA327" s="210" t="n">
        <f aca="false">DEGREES(_xlfn.ACOT( SIGN( ( COS(AA$313)  *  COS($A327)))  /  SQRT(  ( TAN(AA$313))^2   +  ( _xlfn.SEC(AA$313)  *  TAN($A327))^2  )))</f>
        <v>158.909418821001</v>
      </c>
      <c r="AB327" s="234" t="n">
        <f aca="false">DEGREES(_xlfn.ACOT( SIGN( ( COS(AB$313)  *  COS($A327)))  /  SQRT(  ( TAN(AB$313))^2   +  ( _xlfn.SEC(AB$313)  *  TAN($A327))^2  )))</f>
        <v>164.999996743172</v>
      </c>
      <c r="AC327" s="195" t="n">
        <f aca="false">DEGREES(_xlfn.ACOT( SIGN( ( COS(AC$313)  *  COS($A327)))  /  SQRT(  ( TAN(AC$313))^2   +  ( _xlfn.SEC(AC$313)  *  TAN($A327))^2  )))</f>
        <v>165</v>
      </c>
      <c r="AD327" s="195" t="n">
        <f aca="false">DEGREES(_xlfn.ACOT( SIGN( ( COS(AD$313)  *  COS($A327)))  /  SQRT(  ( TAN(AD$313))^2   +  ( _xlfn.SEC(AD$313)  *  TAN($A327))^2  )))</f>
        <v>165</v>
      </c>
      <c r="AE327" s="1"/>
      <c r="AF327" s="1"/>
      <c r="AG327" s="1"/>
      <c r="AH327" s="1"/>
      <c r="AI327" s="1"/>
      <c r="AJ327" s="1"/>
      <c r="AK327" s="1"/>
      <c r="AL327" s="1"/>
    </row>
    <row r="328" customFormat="false" ht="12.75" hidden="false" customHeight="true" outlineLevel="0" collapsed="false">
      <c r="A328" s="193" t="n">
        <f aca="false">RADIANS(MOD(B328-180,-360)+180)</f>
        <v>-2.61799387799149</v>
      </c>
      <c r="B328" s="182" t="n">
        <v>210</v>
      </c>
      <c r="C328" s="1"/>
      <c r="D328" s="234" t="n">
        <f aca="false">DEGREES(_xlfn.ACOT( SIGN( ( COS(D$313)  *  COS($A328)))  /  SQRT(  ( TAN(D$313))^2   +  ( _xlfn.SEC(D$313)  *  TAN($A328))^2  )))</f>
        <v>149.999999984885</v>
      </c>
      <c r="E328" s="210" t="n">
        <f aca="false">DEGREES(_xlfn.ACOT( SIGN( ( COS(E$313)  *  COS($A328)))  /  SQRT(  ( TAN(E$313))^2   +  ( _xlfn.SEC(E$313)  *  TAN($A328))^2  )))</f>
        <v>146.774057796712</v>
      </c>
      <c r="F328" s="210" t="n">
        <f aca="false">DEGREES(_xlfn.ACOT( SIGN( ( COS(F$313)  *  COS($A328)))  /  SQRT(  ( TAN(F$313))^2   +  ( _xlfn.SEC(F$313)  *  TAN($A328))^2  )))</f>
        <v>138.590377890729</v>
      </c>
      <c r="G328" s="210" t="n">
        <f aca="false">DEGREES(_xlfn.ACOT( SIGN( ( COS(G$313)  *  COS($A328)))  /  SQRT(  ( TAN(G$313))^2   +  ( _xlfn.SEC(G$313)  *  TAN($A328))^2  )))</f>
        <v>127.761243907035</v>
      </c>
      <c r="H328" s="210" t="n">
        <f aca="false">DEGREES(_xlfn.ACOT( SIGN( ( COS(H$313)  *  COS($A328)))  /  SQRT(  ( TAN(H$313))^2   +  ( _xlfn.SEC(H$313)  *  TAN($A328))^2  )))</f>
        <v>115.658906273255</v>
      </c>
      <c r="I328" s="210" t="n">
        <f aca="false">DEGREES(_xlfn.ACOT( SIGN( ( COS(I$313)  *  COS($A328)))  /  SQRT(  ( TAN(I$313))^2   +  ( _xlfn.SEC(I$313)  *  TAN($A328))^2  )))</f>
        <v>102.952539642222</v>
      </c>
      <c r="J328" s="234" t="n">
        <f aca="false">DEGREES(_xlfn.ACOT( SIGN( ( COS(J$313)  *  COS($A328)))  /  SQRT(  ( TAN(J$313))^2   +  ( _xlfn.SEC(J$313)  *  TAN($A328))^2  )))</f>
        <v>90</v>
      </c>
      <c r="K328" s="210" t="n">
        <f aca="false">DEGREES(_xlfn.ACOT( SIGN( ( COS(K$313)  *  COS($A328)))  /  SQRT(  ( TAN(K$313))^2   +  ( _xlfn.SEC(K$313)  *  TAN($A328))^2  )))</f>
        <v>77.0474603577776</v>
      </c>
      <c r="L328" s="210" t="n">
        <f aca="false">DEGREES(_xlfn.ACOT( SIGN( ( COS(L$313)  *  COS($A328)))  /  SQRT(  ( TAN(L$313))^2   +  ( _xlfn.SEC(L$313)  *  TAN($A328))^2  )))</f>
        <v>64.3410937267447</v>
      </c>
      <c r="M328" s="210" t="n">
        <f aca="false">DEGREES(_xlfn.ACOT( SIGN( ( COS(M$313)  *  COS($A328)))  /  SQRT(  ( TAN(M$313))^2   +  ( _xlfn.SEC(M$313)  *  TAN($A328))^2  )))</f>
        <v>52.238756092965</v>
      </c>
      <c r="N328" s="210" t="n">
        <f aca="false">DEGREES(_xlfn.ACOT( SIGN( ( COS(N$313)  *  COS($A328)))  /  SQRT(  ( TAN(N$313))^2   +  ( _xlfn.SEC(N$313)  *  TAN($A328))^2  )))</f>
        <v>41.4096221092709</v>
      </c>
      <c r="O328" s="210" t="n">
        <f aca="false">DEGREES(_xlfn.ACOT( SIGN( ( COS(O$313)  *  COS($A328)))  /  SQRT(  ( TAN(O$313))^2   +  ( _xlfn.SEC(O$313)  *  TAN($A328))^2  )))</f>
        <v>33.2259422032876</v>
      </c>
      <c r="P328" s="234" t="n">
        <f aca="false">DEGREES(_xlfn.ACOT( SIGN( ( COS(P$313)  *  COS($A328)))  /  SQRT(  ( TAN(P$313))^2   +  ( _xlfn.SEC(P$313)  *  TAN($A328))^2  )))</f>
        <v>30</v>
      </c>
      <c r="Q328" s="210" t="n">
        <f aca="false">DEGREES(_xlfn.ACOT( SIGN( ( COS(Q$313)  *  COS($A328)))  /  SQRT(  ( TAN(Q$313))^2   +  ( _xlfn.SEC(Q$313)  *  TAN($A328))^2  )))</f>
        <v>33.2259422032876</v>
      </c>
      <c r="R328" s="210" t="n">
        <f aca="false">DEGREES(_xlfn.ACOT( SIGN( ( COS(R$313)  *  COS($A328)))  /  SQRT(  ( TAN(R$313))^2   +  ( _xlfn.SEC(R$313)  *  TAN($A328))^2  )))</f>
        <v>41.4096221092709</v>
      </c>
      <c r="S328" s="210" t="n">
        <f aca="false">DEGREES(_xlfn.ACOT( SIGN( ( COS(S$313)  *  COS($A328)))  /  SQRT(  ( TAN(S$313))^2   +  ( _xlfn.SEC(S$313)  *  TAN($A328))^2  )))</f>
        <v>52.238756092965</v>
      </c>
      <c r="T328" s="210" t="n">
        <f aca="false">DEGREES(_xlfn.ACOT( SIGN( ( COS(T$313)  *  COS($A328)))  /  SQRT(  ( TAN(T$313))^2   +  ( _xlfn.SEC(T$313)  *  TAN($A328))^2  )))</f>
        <v>64.3410937267447</v>
      </c>
      <c r="U328" s="210" t="n">
        <f aca="false">DEGREES(_xlfn.ACOT( SIGN( ( COS(U$313)  *  COS($A328)))  /  SQRT(  ( TAN(U$313))^2   +  ( _xlfn.SEC(U$313)  *  TAN($A328))^2  )))</f>
        <v>77.0474603577776</v>
      </c>
      <c r="V328" s="234" t="n">
        <f aca="false">DEGREES(_xlfn.ACOT( SIGN( ( COS(V$313)  *  COS($A328)))  /  SQRT(  ( TAN(V$313))^2   +  ( _xlfn.SEC(V$313)  *  TAN($A328))^2  )))</f>
        <v>90</v>
      </c>
      <c r="W328" s="210" t="n">
        <f aca="false">DEGREES(_xlfn.ACOT( SIGN( ( COS(W$313)  *  COS($A328)))  /  SQRT(  ( TAN(W$313))^2   +  ( _xlfn.SEC(W$313)  *  TAN($A328))^2  )))</f>
        <v>102.952539642222</v>
      </c>
      <c r="X328" s="210" t="n">
        <f aca="false">DEGREES(_xlfn.ACOT( SIGN( ( COS(X$313)  *  COS($A328)))  /  SQRT(  ( TAN(X$313))^2   +  ( _xlfn.SEC(X$313)  *  TAN($A328))^2  )))</f>
        <v>115.658906273255</v>
      </c>
      <c r="Y328" s="210" t="n">
        <f aca="false">DEGREES(_xlfn.ACOT( SIGN( ( COS(Y$313)  *  COS($A328)))  /  SQRT(  ( TAN(Y$313))^2   +  ( _xlfn.SEC(Y$313)  *  TAN($A328))^2  )))</f>
        <v>127.761243907035</v>
      </c>
      <c r="Z328" s="210" t="n">
        <f aca="false">DEGREES(_xlfn.ACOT( SIGN( ( COS(Z$313)  *  COS($A328)))  /  SQRT(  ( TAN(Z$313))^2   +  ( _xlfn.SEC(Z$313)  *  TAN($A328))^2  )))</f>
        <v>138.590377890729</v>
      </c>
      <c r="AA328" s="210" t="n">
        <f aca="false">DEGREES(_xlfn.ACOT( SIGN( ( COS(AA$313)  *  COS($A328)))  /  SQRT(  ( TAN(AA$313))^2   +  ( _xlfn.SEC(AA$313)  *  TAN($A328))^2  )))</f>
        <v>146.774057796712</v>
      </c>
      <c r="AB328" s="234" t="n">
        <f aca="false">DEGREES(_xlfn.ACOT( SIGN( ( COS(AB$313)  *  COS($A328)))  /  SQRT(  ( TAN(AB$313))^2   +  ( _xlfn.SEC(AB$313)  *  TAN($A328))^2  )))</f>
        <v>149.999998488501</v>
      </c>
      <c r="AC328" s="195" t="n">
        <f aca="false">DEGREES(_xlfn.ACOT( SIGN( ( COS(AC$313)  *  COS($A328)))  /  SQRT(  ( TAN(AC$313))^2   +  ( _xlfn.SEC(AC$313)  *  TAN($A328))^2  )))</f>
        <v>150</v>
      </c>
      <c r="AD328" s="195" t="n">
        <f aca="false">DEGREES(_xlfn.ACOT( SIGN( ( COS(AD$313)  *  COS($A328)))  /  SQRT(  ( TAN(AD$313))^2   +  ( _xlfn.SEC(AD$313)  *  TAN($A328))^2  )))</f>
        <v>150</v>
      </c>
      <c r="AE328" s="1"/>
      <c r="AF328" s="1"/>
      <c r="AG328" s="1"/>
      <c r="AH328" s="1"/>
      <c r="AI328" s="1"/>
      <c r="AJ328" s="1"/>
      <c r="AK328" s="1"/>
      <c r="AL328" s="1"/>
    </row>
    <row r="329" customFormat="false" ht="12.75" hidden="false" customHeight="true" outlineLevel="0" collapsed="false">
      <c r="A329" s="193" t="n">
        <f aca="false">RADIANS(MOD(B329-180,-360)+180)</f>
        <v>-2.35619449019234</v>
      </c>
      <c r="B329" s="182" t="n">
        <v>225</v>
      </c>
      <c r="C329" s="1"/>
      <c r="D329" s="234" t="n">
        <f aca="false">DEGREES(_xlfn.ACOT( SIGN( ( COS(D$313)  *  COS($A329)))  /  SQRT(  ( TAN(D$313))^2   +  ( _xlfn.SEC(D$313)  *  TAN($A329))^2  )))</f>
        <v>134.999999991273</v>
      </c>
      <c r="E329" s="210" t="n">
        <f aca="false">DEGREES(_xlfn.ACOT( SIGN( ( COS(E$313)  *  COS($A329)))  /  SQRT(  ( TAN(E$313))^2   +  ( _xlfn.SEC(E$313)  *  TAN($A329))^2  )))</f>
        <v>133.079517141871</v>
      </c>
      <c r="F329" s="210" t="n">
        <f aca="false">DEGREES(_xlfn.ACOT( SIGN( ( COS(F$313)  *  COS($A329)))  /  SQRT(  ( TAN(F$313))^2   +  ( _xlfn.SEC(F$313)  *  TAN($A329))^2  )))</f>
        <v>127.761243907035</v>
      </c>
      <c r="G329" s="210" t="n">
        <f aca="false">DEGREES(_xlfn.ACOT( SIGN( ( COS(G$313)  *  COS($A329)))  /  SQRT(  ( TAN(G$313))^2   +  ( _xlfn.SEC(G$313)  *  TAN($A329))^2  )))</f>
        <v>120</v>
      </c>
      <c r="H329" s="210" t="n">
        <f aca="false">DEGREES(_xlfn.ACOT( SIGN( ( COS(H$313)  *  COS($A329)))  /  SQRT(  ( TAN(H$313))^2   +  ( _xlfn.SEC(H$313)  *  TAN($A329))^2  )))</f>
        <v>110.704811054635</v>
      </c>
      <c r="I329" s="210" t="n">
        <f aca="false">DEGREES(_xlfn.ACOT( SIGN( ( COS(I$313)  *  COS($A329)))  /  SQRT(  ( TAN(I$313))^2   +  ( _xlfn.SEC(I$313)  *  TAN($A329))^2  )))</f>
        <v>100.5452905895</v>
      </c>
      <c r="J329" s="234" t="n">
        <f aca="false">DEGREES(_xlfn.ACOT( SIGN( ( COS(J$313)  *  COS($A329)))  /  SQRT(  ( TAN(J$313))^2   +  ( _xlfn.SEC(J$313)  *  TAN($A329))^2  )))</f>
        <v>90</v>
      </c>
      <c r="K329" s="210" t="n">
        <f aca="false">DEGREES(_xlfn.ACOT( SIGN( ( COS(K$313)  *  COS($A329)))  /  SQRT(  ( TAN(K$313))^2   +  ( _xlfn.SEC(K$313)  *  TAN($A329))^2  )))</f>
        <v>79.4547094105004</v>
      </c>
      <c r="L329" s="210" t="n">
        <f aca="false">DEGREES(_xlfn.ACOT( SIGN( ( COS(L$313)  *  COS($A329)))  /  SQRT(  ( TAN(L$313))^2   +  ( _xlfn.SEC(L$313)  *  TAN($A329))^2  )))</f>
        <v>69.2951889453646</v>
      </c>
      <c r="M329" s="210" t="n">
        <f aca="false">DEGREES(_xlfn.ACOT( SIGN( ( COS(M$313)  *  COS($A329)))  /  SQRT(  ( TAN(M$313))^2   +  ( _xlfn.SEC(M$313)  *  TAN($A329))^2  )))</f>
        <v>60</v>
      </c>
      <c r="N329" s="210" t="n">
        <f aca="false">DEGREES(_xlfn.ACOT( SIGN( ( COS(N$313)  *  COS($A329)))  /  SQRT(  ( TAN(N$313))^2   +  ( _xlfn.SEC(N$313)  *  TAN($A329))^2  )))</f>
        <v>52.238756092965</v>
      </c>
      <c r="O329" s="210" t="n">
        <f aca="false">DEGREES(_xlfn.ACOT( SIGN( ( COS(O$313)  *  COS($A329)))  /  SQRT(  ( TAN(O$313))^2   +  ( _xlfn.SEC(O$313)  *  TAN($A329))^2  )))</f>
        <v>46.9204828581291</v>
      </c>
      <c r="P329" s="234" t="n">
        <f aca="false">DEGREES(_xlfn.ACOT( SIGN( ( COS(P$313)  *  COS($A329)))  /  SQRT(  ( TAN(P$313))^2   +  ( _xlfn.SEC(P$313)  *  TAN($A329))^2  )))</f>
        <v>45</v>
      </c>
      <c r="Q329" s="210" t="n">
        <f aca="false">DEGREES(_xlfn.ACOT( SIGN( ( COS(Q$313)  *  COS($A329)))  /  SQRT(  ( TAN(Q$313))^2   +  ( _xlfn.SEC(Q$313)  *  TAN($A329))^2  )))</f>
        <v>46.9204828581291</v>
      </c>
      <c r="R329" s="210" t="n">
        <f aca="false">DEGREES(_xlfn.ACOT( SIGN( ( COS(R$313)  *  COS($A329)))  /  SQRT(  ( TAN(R$313))^2   +  ( _xlfn.SEC(R$313)  *  TAN($A329))^2  )))</f>
        <v>52.238756092965</v>
      </c>
      <c r="S329" s="210" t="n">
        <f aca="false">DEGREES(_xlfn.ACOT( SIGN( ( COS(S$313)  *  COS($A329)))  /  SQRT(  ( TAN(S$313))^2   +  ( _xlfn.SEC(S$313)  *  TAN($A329))^2  )))</f>
        <v>60</v>
      </c>
      <c r="T329" s="210" t="n">
        <f aca="false">DEGREES(_xlfn.ACOT( SIGN( ( COS(T$313)  *  COS($A329)))  /  SQRT(  ( TAN(T$313))^2   +  ( _xlfn.SEC(T$313)  *  TAN($A329))^2  )))</f>
        <v>69.2951889453646</v>
      </c>
      <c r="U329" s="210" t="n">
        <f aca="false">DEGREES(_xlfn.ACOT( SIGN( ( COS(U$313)  *  COS($A329)))  /  SQRT(  ( TAN(U$313))^2   +  ( _xlfn.SEC(U$313)  *  TAN($A329))^2  )))</f>
        <v>79.4547094105004</v>
      </c>
      <c r="V329" s="234" t="n">
        <f aca="false">DEGREES(_xlfn.ACOT( SIGN( ( COS(V$313)  *  COS($A329)))  /  SQRT(  ( TAN(V$313))^2   +  ( _xlfn.SEC(V$313)  *  TAN($A329))^2  )))</f>
        <v>90</v>
      </c>
      <c r="W329" s="210" t="n">
        <f aca="false">DEGREES(_xlfn.ACOT( SIGN( ( COS(W$313)  *  COS($A329)))  /  SQRT(  ( TAN(W$313))^2   +  ( _xlfn.SEC(W$313)  *  TAN($A329))^2  )))</f>
        <v>100.5452905895</v>
      </c>
      <c r="X329" s="210" t="n">
        <f aca="false">DEGREES(_xlfn.ACOT( SIGN( ( COS(X$313)  *  COS($A329)))  /  SQRT(  ( TAN(X$313))^2   +  ( _xlfn.SEC(X$313)  *  TAN($A329))^2  )))</f>
        <v>110.704811054635</v>
      </c>
      <c r="Y329" s="210" t="n">
        <f aca="false">DEGREES(_xlfn.ACOT( SIGN( ( COS(Y$313)  *  COS($A329)))  /  SQRT(  ( TAN(Y$313))^2   +  ( _xlfn.SEC(Y$313)  *  TAN($A329))^2  )))</f>
        <v>120</v>
      </c>
      <c r="Z329" s="210" t="n">
        <f aca="false">DEGREES(_xlfn.ACOT( SIGN( ( COS(Z$313)  *  COS($A329)))  /  SQRT(  ( TAN(Z$313))^2   +  ( _xlfn.SEC(Z$313)  *  TAN($A329))^2  )))</f>
        <v>127.761243907035</v>
      </c>
      <c r="AA329" s="210" t="n">
        <f aca="false">DEGREES(_xlfn.ACOT( SIGN( ( COS(AA$313)  *  COS($A329)))  /  SQRT(  ( TAN(AA$313))^2   +  ( _xlfn.SEC(AA$313)  *  TAN($A329))^2  )))</f>
        <v>133.079517141871</v>
      </c>
      <c r="AB329" s="234" t="n">
        <f aca="false">DEGREES(_xlfn.ACOT( SIGN( ( COS(AB$313)  *  COS($A329)))  /  SQRT(  ( TAN(AB$313))^2   +  ( _xlfn.SEC(AB$313)  *  TAN($A329))^2  )))</f>
        <v>134.999999127335</v>
      </c>
      <c r="AC329" s="195" t="n">
        <f aca="false">DEGREES(_xlfn.ACOT( SIGN( ( COS(AC$313)  *  COS($A329)))  /  SQRT(  ( TAN(AC$313))^2   +  ( _xlfn.SEC(AC$313)  *  TAN($A329))^2  )))</f>
        <v>135</v>
      </c>
      <c r="AD329" s="195" t="n">
        <f aca="false">DEGREES(_xlfn.ACOT( SIGN( ( COS(AD$313)  *  COS($A329)))  /  SQRT(  ( TAN(AD$313))^2   +  ( _xlfn.SEC(AD$313)  *  TAN($A329))^2  )))</f>
        <v>135</v>
      </c>
      <c r="AE329" s="1"/>
      <c r="AF329" s="1"/>
      <c r="AG329" s="1"/>
      <c r="AH329" s="1"/>
      <c r="AI329" s="1"/>
      <c r="AJ329" s="1"/>
      <c r="AK329" s="1"/>
      <c r="AL329" s="1"/>
    </row>
    <row r="330" customFormat="false" ht="12.75" hidden="false" customHeight="true" outlineLevel="0" collapsed="false">
      <c r="A330" s="193" t="n">
        <f aca="false">RADIANS(MOD(B330-180,-360)+180)</f>
        <v>-2.0943951023932</v>
      </c>
      <c r="B330" s="182" t="n">
        <v>240</v>
      </c>
      <c r="C330" s="1"/>
      <c r="D330" s="234" t="n">
        <f aca="false">DEGREES(_xlfn.ACOT( SIGN( ( COS(D$313)  *  COS($A330)))  /  SQRT(  ( TAN(D$313))^2   +  ( _xlfn.SEC(D$313)  *  TAN($A330))^2  )))</f>
        <v>119.999999994962</v>
      </c>
      <c r="E330" s="210" t="n">
        <f aca="false">DEGREES(_xlfn.ACOT( SIGN( ( COS(E$313)  *  COS($A330)))  /  SQRT(  ( TAN(E$313))^2   +  ( _xlfn.SEC(E$313)  *  TAN($A330))^2  )))</f>
        <v>118.879094017428</v>
      </c>
      <c r="F330" s="210" t="n">
        <f aca="false">DEGREES(_xlfn.ACOT( SIGN( ( COS(F$313)  *  COS($A330)))  /  SQRT(  ( TAN(F$313))^2   +  ( _xlfn.SEC(F$313)  *  TAN($A330))^2  )))</f>
        <v>115.658906273255</v>
      </c>
      <c r="G330" s="210" t="n">
        <f aca="false">DEGREES(_xlfn.ACOT( SIGN( ( COS(G$313)  *  COS($A330)))  /  SQRT(  ( TAN(G$313))^2   +  ( _xlfn.SEC(G$313)  *  TAN($A330))^2  )))</f>
        <v>110.704811054635</v>
      </c>
      <c r="H330" s="210" t="n">
        <f aca="false">DEGREES(_xlfn.ACOT( SIGN( ( COS(H$313)  *  COS($A330)))  /  SQRT(  ( TAN(H$313))^2   +  ( _xlfn.SEC(H$313)  *  TAN($A330))^2  )))</f>
        <v>104.47751218593</v>
      </c>
      <c r="I330" s="210" t="n">
        <f aca="false">DEGREES(_xlfn.ACOT( SIGN( ( COS(I$313)  *  COS($A330)))  /  SQRT(  ( TAN(I$313))^2   +  ( _xlfn.SEC(I$313)  *  TAN($A330))^2  )))</f>
        <v>97.4354722261318</v>
      </c>
      <c r="J330" s="234" t="n">
        <f aca="false">DEGREES(_xlfn.ACOT( SIGN( ( COS(J$313)  *  COS($A330)))  /  SQRT(  ( TAN(J$313))^2   +  ( _xlfn.SEC(J$313)  *  TAN($A330))^2  )))</f>
        <v>90</v>
      </c>
      <c r="K330" s="210" t="n">
        <f aca="false">DEGREES(_xlfn.ACOT( SIGN( ( COS(K$313)  *  COS($A330)))  /  SQRT(  ( TAN(K$313))^2   +  ( _xlfn.SEC(K$313)  *  TAN($A330))^2  )))</f>
        <v>82.5645277738682</v>
      </c>
      <c r="L330" s="210" t="n">
        <f aca="false">DEGREES(_xlfn.ACOT( SIGN( ( COS(L$313)  *  COS($A330)))  /  SQRT(  ( TAN(L$313))^2   +  ( _xlfn.SEC(L$313)  *  TAN($A330))^2  )))</f>
        <v>75.5224878140701</v>
      </c>
      <c r="M330" s="210" t="n">
        <f aca="false">DEGREES(_xlfn.ACOT( SIGN( ( COS(M$313)  *  COS($A330)))  /  SQRT(  ( TAN(M$313))^2   +  ( _xlfn.SEC(M$313)  *  TAN($A330))^2  )))</f>
        <v>69.2951889453646</v>
      </c>
      <c r="N330" s="210" t="n">
        <f aca="false">DEGREES(_xlfn.ACOT( SIGN( ( COS(N$313)  *  COS($A330)))  /  SQRT(  ( TAN(N$313))^2   +  ( _xlfn.SEC(N$313)  *  TAN($A330))^2  )))</f>
        <v>64.3410937267447</v>
      </c>
      <c r="O330" s="210" t="n">
        <f aca="false">DEGREES(_xlfn.ACOT( SIGN( ( COS(O$313)  *  COS($A330)))  /  SQRT(  ( TAN(O$313))^2   +  ( _xlfn.SEC(O$313)  *  TAN($A330))^2  )))</f>
        <v>61.1209059825724</v>
      </c>
      <c r="P330" s="234" t="n">
        <f aca="false">DEGREES(_xlfn.ACOT( SIGN( ( COS(P$313)  *  COS($A330)))  /  SQRT(  ( TAN(P$313))^2   +  ( _xlfn.SEC(P$313)  *  TAN($A330))^2  )))</f>
        <v>60</v>
      </c>
      <c r="Q330" s="210" t="n">
        <f aca="false">DEGREES(_xlfn.ACOT( SIGN( ( COS(Q$313)  *  COS($A330)))  /  SQRT(  ( TAN(Q$313))^2   +  ( _xlfn.SEC(Q$313)  *  TAN($A330))^2  )))</f>
        <v>61.1209059825724</v>
      </c>
      <c r="R330" s="210" t="n">
        <f aca="false">DEGREES(_xlfn.ACOT( SIGN( ( COS(R$313)  *  COS($A330)))  /  SQRT(  ( TAN(R$313))^2   +  ( _xlfn.SEC(R$313)  *  TAN($A330))^2  )))</f>
        <v>64.3410937267447</v>
      </c>
      <c r="S330" s="210" t="n">
        <f aca="false">DEGREES(_xlfn.ACOT( SIGN( ( COS(S$313)  *  COS($A330)))  /  SQRT(  ( TAN(S$313))^2   +  ( _xlfn.SEC(S$313)  *  TAN($A330))^2  )))</f>
        <v>69.2951889453646</v>
      </c>
      <c r="T330" s="210" t="n">
        <f aca="false">DEGREES(_xlfn.ACOT( SIGN( ( COS(T$313)  *  COS($A330)))  /  SQRT(  ( TAN(T$313))^2   +  ( _xlfn.SEC(T$313)  *  TAN($A330))^2  )))</f>
        <v>75.5224878140701</v>
      </c>
      <c r="U330" s="210" t="n">
        <f aca="false">DEGREES(_xlfn.ACOT( SIGN( ( COS(U$313)  *  COS($A330)))  /  SQRT(  ( TAN(U$313))^2   +  ( _xlfn.SEC(U$313)  *  TAN($A330))^2  )))</f>
        <v>82.5645277738682</v>
      </c>
      <c r="V330" s="234" t="n">
        <f aca="false">DEGREES(_xlfn.ACOT( SIGN( ( COS(V$313)  *  COS($A330)))  /  SQRT(  ( TAN(V$313))^2   +  ( _xlfn.SEC(V$313)  *  TAN($A330))^2  )))</f>
        <v>90</v>
      </c>
      <c r="W330" s="210" t="n">
        <f aca="false">DEGREES(_xlfn.ACOT( SIGN( ( COS(W$313)  *  COS($A330)))  /  SQRT(  ( TAN(W$313))^2   +  ( _xlfn.SEC(W$313)  *  TAN($A330))^2  )))</f>
        <v>97.4354722261318</v>
      </c>
      <c r="X330" s="210" t="n">
        <f aca="false">DEGREES(_xlfn.ACOT( SIGN( ( COS(X$313)  *  COS($A330)))  /  SQRT(  ( TAN(X$313))^2   +  ( _xlfn.SEC(X$313)  *  TAN($A330))^2  )))</f>
        <v>104.47751218593</v>
      </c>
      <c r="Y330" s="210" t="n">
        <f aca="false">DEGREES(_xlfn.ACOT( SIGN( ( COS(Y$313)  *  COS($A330)))  /  SQRT(  ( TAN(Y$313))^2   +  ( _xlfn.SEC(Y$313)  *  TAN($A330))^2  )))</f>
        <v>110.704811054635</v>
      </c>
      <c r="Z330" s="210" t="n">
        <f aca="false">DEGREES(_xlfn.ACOT( SIGN( ( COS(Z$313)  *  COS($A330)))  /  SQRT(  ( TAN(Z$313))^2   +  ( _xlfn.SEC(Z$313)  *  TAN($A330))^2  )))</f>
        <v>115.658906273255</v>
      </c>
      <c r="AA330" s="210" t="n">
        <f aca="false">DEGREES(_xlfn.ACOT( SIGN( ( COS(AA$313)  *  COS($A330)))  /  SQRT(  ( TAN(AA$313))^2   +  ( _xlfn.SEC(AA$313)  *  TAN($A330))^2  )))</f>
        <v>118.879094017428</v>
      </c>
      <c r="AB330" s="234" t="n">
        <f aca="false">DEGREES(_xlfn.ACOT( SIGN( ( COS(AB$313)  *  COS($A330)))  /  SQRT(  ( TAN(AB$313))^2   +  ( _xlfn.SEC(AB$313)  *  TAN($A330))^2  )))</f>
        <v>119.999999496167</v>
      </c>
      <c r="AC330" s="195" t="n">
        <f aca="false">DEGREES(_xlfn.ACOT( SIGN( ( COS(AC$313)  *  COS($A330)))  /  SQRT(  ( TAN(AC$313))^2   +  ( _xlfn.SEC(AC$313)  *  TAN($A330))^2  )))</f>
        <v>120</v>
      </c>
      <c r="AD330" s="195" t="n">
        <f aca="false">DEGREES(_xlfn.ACOT( SIGN( ( COS(AD$313)  *  COS($A330)))  /  SQRT(  ( TAN(AD$313))^2   +  ( _xlfn.SEC(AD$313)  *  TAN($A330))^2  )))</f>
        <v>120</v>
      </c>
      <c r="AE330" s="1"/>
      <c r="AF330" s="1"/>
      <c r="AG330" s="1"/>
      <c r="AH330" s="1"/>
      <c r="AI330" s="1"/>
      <c r="AJ330" s="1"/>
      <c r="AK330" s="1"/>
      <c r="AL330" s="1"/>
    </row>
    <row r="331" customFormat="false" ht="12.75" hidden="false" customHeight="true" outlineLevel="0" collapsed="false">
      <c r="A331" s="193" t="n">
        <f aca="false">RADIANS(MOD(B331-180,-360)+180)</f>
        <v>-1.83259571459405</v>
      </c>
      <c r="B331" s="182" t="n">
        <v>255</v>
      </c>
      <c r="C331" s="1"/>
      <c r="D331" s="234" t="n">
        <f aca="false">DEGREES(_xlfn.ACOT( SIGN( ( COS(D$313)  *  COS($A331)))  /  SQRT(  ( TAN(D$313))^2   +  ( _xlfn.SEC(D$313)  *  TAN($A331))^2  )))</f>
        <v>104.999999997662</v>
      </c>
      <c r="E331" s="210" t="n">
        <f aca="false">DEGREES(_xlfn.ACOT( SIGN( ( COS(E$313)  *  COS($A331)))  /  SQRT(  ( TAN(E$313))^2   +  ( _xlfn.SEC(E$313)  *  TAN($A331))^2  )))</f>
        <v>104.47751218593</v>
      </c>
      <c r="F331" s="210" t="n">
        <f aca="false">DEGREES(_xlfn.ACOT( SIGN( ( COS(F$313)  *  COS($A331)))  /  SQRT(  ( TAN(F$313))^2   +  ( _xlfn.SEC(F$313)  *  TAN($A331))^2  )))</f>
        <v>102.952539642222</v>
      </c>
      <c r="G331" s="210" t="n">
        <f aca="false">DEGREES(_xlfn.ACOT( SIGN( ( COS(G$313)  *  COS($A331)))  /  SQRT(  ( TAN(G$313))^2   +  ( _xlfn.SEC(G$313)  *  TAN($A331))^2  )))</f>
        <v>100.5452905895</v>
      </c>
      <c r="H331" s="210" t="n">
        <f aca="false">DEGREES(_xlfn.ACOT( SIGN( ( COS(H$313)  *  COS($A331)))  /  SQRT(  ( TAN(H$313))^2   +  ( _xlfn.SEC(H$313)  *  TAN($A331))^2  )))</f>
        <v>97.4354722261319</v>
      </c>
      <c r="I331" s="210" t="n">
        <f aca="false">DEGREES(_xlfn.ACOT( SIGN( ( COS(I$313)  *  COS($A331)))  /  SQRT(  ( TAN(I$313))^2   +  ( _xlfn.SEC(I$313)  *  TAN($A331))^2  )))</f>
        <v>93.8409657162582</v>
      </c>
      <c r="J331" s="234" t="n">
        <f aca="false">DEGREES(_xlfn.ACOT( SIGN( ( COS(J$313)  *  COS($A331)))  /  SQRT(  ( TAN(J$313))^2   +  ( _xlfn.SEC(J$313)  *  TAN($A331))^2  )))</f>
        <v>90</v>
      </c>
      <c r="K331" s="210" t="n">
        <f aca="false">DEGREES(_xlfn.ACOT( SIGN( ( COS(K$313)  *  COS($A331)))  /  SQRT(  ( TAN(K$313))^2   +  ( _xlfn.SEC(K$313)  *  TAN($A331))^2  )))</f>
        <v>86.1590342837419</v>
      </c>
      <c r="L331" s="210" t="n">
        <f aca="false">DEGREES(_xlfn.ACOT( SIGN( ( COS(L$313)  *  COS($A331)))  /  SQRT(  ( TAN(L$313))^2   +  ( _xlfn.SEC(L$313)  *  TAN($A331))^2  )))</f>
        <v>82.5645277738682</v>
      </c>
      <c r="M331" s="210" t="n">
        <f aca="false">DEGREES(_xlfn.ACOT( SIGN( ( COS(M$313)  *  COS($A331)))  /  SQRT(  ( TAN(M$313))^2   +  ( _xlfn.SEC(M$313)  *  TAN($A331))^2  )))</f>
        <v>79.4547094105004</v>
      </c>
      <c r="N331" s="210" t="n">
        <f aca="false">DEGREES(_xlfn.ACOT( SIGN( ( COS(N$313)  *  COS($A331)))  /  SQRT(  ( TAN(N$313))^2   +  ( _xlfn.SEC(N$313)  *  TAN($A331))^2  )))</f>
        <v>77.0474603577776</v>
      </c>
      <c r="O331" s="210" t="n">
        <f aca="false">DEGREES(_xlfn.ACOT( SIGN( ( COS(O$313)  *  COS($A331)))  /  SQRT(  ( TAN(O$313))^2   +  ( _xlfn.SEC(O$313)  *  TAN($A331))^2  )))</f>
        <v>75.5224878140701</v>
      </c>
      <c r="P331" s="234" t="n">
        <f aca="false">DEGREES(_xlfn.ACOT( SIGN( ( COS(P$313)  *  COS($A331)))  /  SQRT(  ( TAN(P$313))^2   +  ( _xlfn.SEC(P$313)  *  TAN($A331))^2  )))</f>
        <v>75</v>
      </c>
      <c r="Q331" s="210" t="n">
        <f aca="false">DEGREES(_xlfn.ACOT( SIGN( ( COS(Q$313)  *  COS($A331)))  /  SQRT(  ( TAN(Q$313))^2   +  ( _xlfn.SEC(Q$313)  *  TAN($A331))^2  )))</f>
        <v>75.5224878140701</v>
      </c>
      <c r="R331" s="210" t="n">
        <f aca="false">DEGREES(_xlfn.ACOT( SIGN( ( COS(R$313)  *  COS($A331)))  /  SQRT(  ( TAN(R$313))^2   +  ( _xlfn.SEC(R$313)  *  TAN($A331))^2  )))</f>
        <v>77.0474603577776</v>
      </c>
      <c r="S331" s="210" t="n">
        <f aca="false">DEGREES(_xlfn.ACOT( SIGN( ( COS(S$313)  *  COS($A331)))  /  SQRT(  ( TAN(S$313))^2   +  ( _xlfn.SEC(S$313)  *  TAN($A331))^2  )))</f>
        <v>79.4547094105004</v>
      </c>
      <c r="T331" s="210" t="n">
        <f aca="false">DEGREES(_xlfn.ACOT( SIGN( ( COS(T$313)  *  COS($A331)))  /  SQRT(  ( TAN(T$313))^2   +  ( _xlfn.SEC(T$313)  *  TAN($A331))^2  )))</f>
        <v>82.5645277738682</v>
      </c>
      <c r="U331" s="210" t="n">
        <f aca="false">DEGREES(_xlfn.ACOT( SIGN( ( COS(U$313)  *  COS($A331)))  /  SQRT(  ( TAN(U$313))^2   +  ( _xlfn.SEC(U$313)  *  TAN($A331))^2  )))</f>
        <v>86.1590342837419</v>
      </c>
      <c r="V331" s="234" t="n">
        <f aca="false">DEGREES(_xlfn.ACOT( SIGN( ( COS(V$313)  *  COS($A331)))  /  SQRT(  ( TAN(V$313))^2   +  ( _xlfn.SEC(V$313)  *  TAN($A331))^2  )))</f>
        <v>90</v>
      </c>
      <c r="W331" s="210" t="n">
        <f aca="false">DEGREES(_xlfn.ACOT( SIGN( ( COS(W$313)  *  COS($A331)))  /  SQRT(  ( TAN(W$313))^2   +  ( _xlfn.SEC(W$313)  *  TAN($A331))^2  )))</f>
        <v>93.8409657162582</v>
      </c>
      <c r="X331" s="210" t="n">
        <f aca="false">DEGREES(_xlfn.ACOT( SIGN( ( COS(X$313)  *  COS($A331)))  /  SQRT(  ( TAN(X$313))^2   +  ( _xlfn.SEC(X$313)  *  TAN($A331))^2  )))</f>
        <v>97.4354722261319</v>
      </c>
      <c r="Y331" s="210" t="n">
        <f aca="false">DEGREES(_xlfn.ACOT( SIGN( ( COS(Y$313)  *  COS($A331)))  /  SQRT(  ( TAN(Y$313))^2   +  ( _xlfn.SEC(Y$313)  *  TAN($A331))^2  )))</f>
        <v>100.5452905895</v>
      </c>
      <c r="Z331" s="210" t="n">
        <f aca="false">DEGREES(_xlfn.ACOT( SIGN( ( COS(Z$313)  *  COS($A331)))  /  SQRT(  ( TAN(Z$313))^2   +  ( _xlfn.SEC(Z$313)  *  TAN($A331))^2  )))</f>
        <v>102.952539642222</v>
      </c>
      <c r="AA331" s="210" t="n">
        <f aca="false">DEGREES(_xlfn.ACOT( SIGN( ( COS(AA$313)  *  COS($A331)))  /  SQRT(  ( TAN(AA$313))^2   +  ( _xlfn.SEC(AA$313)  *  TAN($A331))^2  )))</f>
        <v>104.47751218593</v>
      </c>
      <c r="AB331" s="234" t="n">
        <f aca="false">DEGREES(_xlfn.ACOT( SIGN( ( COS(AB$313)  *  COS($A331)))  /  SQRT(  ( TAN(AB$313))^2   +  ( _xlfn.SEC(AB$313)  *  TAN($A331))^2  )))</f>
        <v>104.99999976617</v>
      </c>
      <c r="AC331" s="195" t="n">
        <f aca="false">DEGREES(_xlfn.ACOT( SIGN( ( COS(AC$313)  *  COS($A331)))  /  SQRT(  ( TAN(AC$313))^2   +  ( _xlfn.SEC(AC$313)  *  TAN($A331))^2  )))</f>
        <v>105</v>
      </c>
      <c r="AD331" s="195" t="n">
        <f aca="false">DEGREES(_xlfn.ACOT( SIGN( ( COS(AD$313)  *  COS($A331)))  /  SQRT(  ( TAN(AD$313))^2   +  ( _xlfn.SEC(AD$313)  *  TAN($A331))^2  )))</f>
        <v>105</v>
      </c>
      <c r="AE331" s="1"/>
      <c r="AF331" s="1"/>
      <c r="AG331" s="1"/>
      <c r="AH331" s="1"/>
      <c r="AI331" s="1"/>
      <c r="AJ331" s="1"/>
      <c r="AK331" s="1"/>
      <c r="AL331" s="1"/>
    </row>
    <row r="332" customFormat="false" ht="12.75" hidden="false" customHeight="true" outlineLevel="0" collapsed="false">
      <c r="A332" s="193" t="n">
        <f aca="false">RADIANS(MOD(B332-180,-360)+180)</f>
        <v>-1.5707963267949</v>
      </c>
      <c r="B332" s="182" t="n">
        <v>270</v>
      </c>
      <c r="C332" s="1"/>
      <c r="D332" s="234" t="n">
        <f aca="false">DEGREES(_xlfn.ACOT( SIGN( ( COS(D$313)  *  COS($A332)))  /  SQRT(  ( TAN(D$313))^2   +  ( _xlfn.SEC(D$313)  *  TAN($A332))^2  )))</f>
        <v>90</v>
      </c>
      <c r="E332" s="234" t="n">
        <f aca="false">DEGREES(_xlfn.ACOT( SIGN( ( COS(E$313)  *  COS($A332)))  /  SQRT(  ( TAN(E$313))^2   +  ( _xlfn.SEC(E$313)  *  TAN($A332))^2  )))</f>
        <v>90</v>
      </c>
      <c r="F332" s="234" t="n">
        <f aca="false">DEGREES(_xlfn.ACOT( SIGN( ( COS(F$313)  *  COS($A332)))  /  SQRT(  ( TAN(F$313))^2   +  ( _xlfn.SEC(F$313)  *  TAN($A332))^2  )))</f>
        <v>90</v>
      </c>
      <c r="G332" s="234" t="n">
        <f aca="false">DEGREES(_xlfn.ACOT( SIGN( ( COS(G$313)  *  COS($A332)))  /  SQRT(  ( TAN(G$313))^2   +  ( _xlfn.SEC(G$313)  *  TAN($A332))^2  )))</f>
        <v>90</v>
      </c>
      <c r="H332" s="234" t="n">
        <f aca="false">DEGREES(_xlfn.ACOT( SIGN( ( COS(H$313)  *  COS($A332)))  /  SQRT(  ( TAN(H$313))^2   +  ( _xlfn.SEC(H$313)  *  TAN($A332))^2  )))</f>
        <v>90</v>
      </c>
      <c r="I332" s="234" t="n">
        <f aca="false">DEGREES(_xlfn.ACOT( SIGN( ( COS(I$313)  *  COS($A332)))  /  SQRT(  ( TAN(I$313))^2   +  ( _xlfn.SEC(I$313)  *  TAN($A332))^2  )))</f>
        <v>90</v>
      </c>
      <c r="J332" s="234" t="n">
        <f aca="false">DEGREES(_xlfn.ACOT( SIGN( ( COS(J$313)  *  COS($A332)))  /  SQRT(  ( TAN(J$313))^2   +  ( _xlfn.SEC(J$313)  *  TAN($A332))^2  )))</f>
        <v>90</v>
      </c>
      <c r="K332" s="234" t="n">
        <f aca="false">DEGREES(_xlfn.ACOT( SIGN( ( COS(K$313)  *  COS($A332)))  /  SQRT(  ( TAN(K$313))^2   +  ( _xlfn.SEC(K$313)  *  TAN($A332))^2  )))</f>
        <v>90</v>
      </c>
      <c r="L332" s="234" t="n">
        <f aca="false">DEGREES(_xlfn.ACOT( SIGN( ( COS(L$313)  *  COS($A332)))  /  SQRT(  ( TAN(L$313))^2   +  ( _xlfn.SEC(L$313)  *  TAN($A332))^2  )))</f>
        <v>90</v>
      </c>
      <c r="M332" s="234" t="n">
        <f aca="false">DEGREES(_xlfn.ACOT( SIGN( ( COS(M$313)  *  COS($A332)))  /  SQRT(  ( TAN(M$313))^2   +  ( _xlfn.SEC(M$313)  *  TAN($A332))^2  )))</f>
        <v>90</v>
      </c>
      <c r="N332" s="234" t="n">
        <f aca="false">DEGREES(_xlfn.ACOT( SIGN( ( COS(N$313)  *  COS($A332)))  /  SQRT(  ( TAN(N$313))^2   +  ( _xlfn.SEC(N$313)  *  TAN($A332))^2  )))</f>
        <v>90</v>
      </c>
      <c r="O332" s="234" t="n">
        <f aca="false">DEGREES(_xlfn.ACOT( SIGN( ( COS(O$313)  *  COS($A332)))  /  SQRT(  ( TAN(O$313))^2   +  ( _xlfn.SEC(O$313)  *  TAN($A332))^2  )))</f>
        <v>90</v>
      </c>
      <c r="P332" s="234" t="n">
        <f aca="false">DEGREES(_xlfn.ACOT( SIGN( ( COS(P$313)  *  COS($A332)))  /  SQRT(  ( TAN(P$313))^2   +  ( _xlfn.SEC(P$313)  *  TAN($A332))^2  )))</f>
        <v>90</v>
      </c>
      <c r="Q332" s="234" t="n">
        <f aca="false">DEGREES(_xlfn.ACOT( SIGN( ( COS(Q$313)  *  COS($A332)))  /  SQRT(  ( TAN(Q$313))^2   +  ( _xlfn.SEC(Q$313)  *  TAN($A332))^2  )))</f>
        <v>90</v>
      </c>
      <c r="R332" s="234" t="n">
        <f aca="false">DEGREES(_xlfn.ACOT( SIGN( ( COS(R$313)  *  COS($A332)))  /  SQRT(  ( TAN(R$313))^2   +  ( _xlfn.SEC(R$313)  *  TAN($A332))^2  )))</f>
        <v>90</v>
      </c>
      <c r="S332" s="234" t="n">
        <f aca="false">DEGREES(_xlfn.ACOT( SIGN( ( COS(S$313)  *  COS($A332)))  /  SQRT(  ( TAN(S$313))^2   +  ( _xlfn.SEC(S$313)  *  TAN($A332))^2  )))</f>
        <v>90</v>
      </c>
      <c r="T332" s="234" t="n">
        <f aca="false">DEGREES(_xlfn.ACOT( SIGN( ( COS(T$313)  *  COS($A332)))  /  SQRT(  ( TAN(T$313))^2   +  ( _xlfn.SEC(T$313)  *  TAN($A332))^2  )))</f>
        <v>90</v>
      </c>
      <c r="U332" s="234" t="n">
        <f aca="false">DEGREES(_xlfn.ACOT( SIGN( ( COS(U$313)  *  COS($A332)))  /  SQRT(  ( TAN(U$313))^2   +  ( _xlfn.SEC(U$313)  *  TAN($A332))^2  )))</f>
        <v>90</v>
      </c>
      <c r="V332" s="234" t="n">
        <f aca="false">DEGREES(_xlfn.ACOT( SIGN( ( COS(V$313)  *  COS($A332)))  /  SQRT(  ( TAN(V$313))^2   +  ( _xlfn.SEC(V$313)  *  TAN($A332))^2  )))</f>
        <v>90</v>
      </c>
      <c r="W332" s="234" t="n">
        <f aca="false">DEGREES(_xlfn.ACOT( SIGN( ( COS(W$313)  *  COS($A332)))  /  SQRT(  ( TAN(W$313))^2   +  ( _xlfn.SEC(W$313)  *  TAN($A332))^2  )))</f>
        <v>90</v>
      </c>
      <c r="X332" s="234" t="n">
        <f aca="false">DEGREES(_xlfn.ACOT( SIGN( ( COS(X$313)  *  COS($A332)))  /  SQRT(  ( TAN(X$313))^2   +  ( _xlfn.SEC(X$313)  *  TAN($A332))^2  )))</f>
        <v>90</v>
      </c>
      <c r="Y332" s="234" t="n">
        <f aca="false">DEGREES(_xlfn.ACOT( SIGN( ( COS(Y$313)  *  COS($A332)))  /  SQRT(  ( TAN(Y$313))^2   +  ( _xlfn.SEC(Y$313)  *  TAN($A332))^2  )))</f>
        <v>90</v>
      </c>
      <c r="Z332" s="234" t="n">
        <f aca="false">DEGREES(_xlfn.ACOT( SIGN( ( COS(Z$313)  *  COS($A332)))  /  SQRT(  ( TAN(Z$313))^2   +  ( _xlfn.SEC(Z$313)  *  TAN($A332))^2  )))</f>
        <v>90</v>
      </c>
      <c r="AA332" s="234" t="n">
        <f aca="false">DEGREES(_xlfn.ACOT( SIGN( ( COS(AA$313)  *  COS($A332)))  /  SQRT(  ( TAN(AA$313))^2   +  ( _xlfn.SEC(AA$313)  *  TAN($A332))^2  )))</f>
        <v>90</v>
      </c>
      <c r="AB332" s="234" t="n">
        <f aca="false">DEGREES(_xlfn.ACOT( SIGN( ( COS(AB$313)  *  COS($A332)))  /  SQRT(  ( TAN(AB$313))^2   +  ( _xlfn.SEC(AB$313)  *  TAN($A332))^2  )))</f>
        <v>90</v>
      </c>
      <c r="AC332" s="195" t="n">
        <f aca="false">DEGREES(_xlfn.ACOT( SIGN( ( COS(AC$313)  *  COS($A332)))  /  SQRT(  ( TAN(AC$313))^2   +  ( _xlfn.SEC(AC$313)  *  TAN($A332))^2  )))</f>
        <v>90</v>
      </c>
      <c r="AD332" s="195" t="n">
        <f aca="false">DEGREES(_xlfn.ACOT( SIGN( ( COS(AD$313)  *  COS($A332)))  /  SQRT(  ( TAN(AD$313))^2   +  ( _xlfn.SEC(AD$313)  *  TAN($A332))^2  )))</f>
        <v>90</v>
      </c>
      <c r="AE332" s="1"/>
      <c r="AF332" s="1"/>
      <c r="AG332" s="1"/>
      <c r="AH332" s="1"/>
      <c r="AI332" s="1"/>
      <c r="AJ332" s="1"/>
      <c r="AK332" s="1"/>
      <c r="AL332" s="1"/>
    </row>
    <row r="333" customFormat="false" ht="12.75" hidden="false" customHeight="true" outlineLevel="0" collapsed="false">
      <c r="A333" s="193" t="n">
        <f aca="false">RADIANS(MOD(B333-180,-360)+180)</f>
        <v>-1.30899693899575</v>
      </c>
      <c r="B333" s="182" t="n">
        <v>285</v>
      </c>
      <c r="C333" s="1"/>
      <c r="D333" s="234" t="n">
        <f aca="false">DEGREES(_xlfn.ACOT( SIGN( ( COS(D$313)  *  COS($A333)))  /  SQRT(  ( TAN(D$313))^2   +  ( _xlfn.SEC(D$313)  *  TAN($A333))^2  )))</f>
        <v>75.0000000023383</v>
      </c>
      <c r="E333" s="210" t="n">
        <f aca="false">DEGREES(_xlfn.ACOT( SIGN( ( COS(E$313)  *  COS($A333)))  /  SQRT(  ( TAN(E$313))^2   +  ( _xlfn.SEC(E$313)  *  TAN($A333))^2  )))</f>
        <v>75.5224878140701</v>
      </c>
      <c r="F333" s="210" t="n">
        <f aca="false">DEGREES(_xlfn.ACOT( SIGN( ( COS(F$313)  *  COS($A333)))  /  SQRT(  ( TAN(F$313))^2   +  ( _xlfn.SEC(F$313)  *  TAN($A333))^2  )))</f>
        <v>77.0474603577776</v>
      </c>
      <c r="G333" s="210" t="n">
        <f aca="false">DEGREES(_xlfn.ACOT( SIGN( ( COS(G$313)  *  COS($A333)))  /  SQRT(  ( TAN(G$313))^2   +  ( _xlfn.SEC(G$313)  *  TAN($A333))^2  )))</f>
        <v>79.4547094105004</v>
      </c>
      <c r="H333" s="210" t="n">
        <f aca="false">DEGREES(_xlfn.ACOT( SIGN( ( COS(H$313)  *  COS($A333)))  /  SQRT(  ( TAN(H$313))^2   +  ( _xlfn.SEC(H$313)  *  TAN($A333))^2  )))</f>
        <v>82.5645277738682</v>
      </c>
      <c r="I333" s="210" t="n">
        <f aca="false">DEGREES(_xlfn.ACOT( SIGN( ( COS(I$313)  *  COS($A333)))  /  SQRT(  ( TAN(I$313))^2   +  ( _xlfn.SEC(I$313)  *  TAN($A333))^2  )))</f>
        <v>86.1590342837419</v>
      </c>
      <c r="J333" s="234" t="n">
        <f aca="false">DEGREES(_xlfn.ACOT( SIGN( ( COS(J$313)  *  COS($A333)))  /  SQRT(  ( TAN(J$313))^2   +  ( _xlfn.SEC(J$313)  *  TAN($A333))^2  )))</f>
        <v>90</v>
      </c>
      <c r="K333" s="210" t="n">
        <f aca="false">DEGREES(_xlfn.ACOT( SIGN( ( COS(K$313)  *  COS($A333)))  /  SQRT(  ( TAN(K$313))^2   +  ( _xlfn.SEC(K$313)  *  TAN($A333))^2  )))</f>
        <v>93.8409657162582</v>
      </c>
      <c r="L333" s="210" t="n">
        <f aca="false">DEGREES(_xlfn.ACOT( SIGN( ( COS(L$313)  *  COS($A333)))  /  SQRT(  ( TAN(L$313))^2   +  ( _xlfn.SEC(L$313)  *  TAN($A333))^2  )))</f>
        <v>97.4354722261318</v>
      </c>
      <c r="M333" s="210" t="n">
        <f aca="false">DEGREES(_xlfn.ACOT( SIGN( ( COS(M$313)  *  COS($A333)))  /  SQRT(  ( TAN(M$313))^2   +  ( _xlfn.SEC(M$313)  *  TAN($A333))^2  )))</f>
        <v>100.5452905895</v>
      </c>
      <c r="N333" s="210" t="n">
        <f aca="false">DEGREES(_xlfn.ACOT( SIGN( ( COS(N$313)  *  COS($A333)))  /  SQRT(  ( TAN(N$313))^2   +  ( _xlfn.SEC(N$313)  *  TAN($A333))^2  )))</f>
        <v>102.952539642222</v>
      </c>
      <c r="O333" s="210" t="n">
        <f aca="false">DEGREES(_xlfn.ACOT( SIGN( ( COS(O$313)  *  COS($A333)))  /  SQRT(  ( TAN(O$313))^2   +  ( _xlfn.SEC(O$313)  *  TAN($A333))^2  )))</f>
        <v>104.47751218593</v>
      </c>
      <c r="P333" s="234" t="n">
        <f aca="false">DEGREES(_xlfn.ACOT( SIGN( ( COS(P$313)  *  COS($A333)))  /  SQRT(  ( TAN(P$313))^2   +  ( _xlfn.SEC(P$313)  *  TAN($A333))^2  )))</f>
        <v>105</v>
      </c>
      <c r="Q333" s="210" t="n">
        <f aca="false">DEGREES(_xlfn.ACOT( SIGN( ( COS(Q$313)  *  COS($A333)))  /  SQRT(  ( TAN(Q$313))^2   +  ( _xlfn.SEC(Q$313)  *  TAN($A333))^2  )))</f>
        <v>104.47751218593</v>
      </c>
      <c r="R333" s="210" t="n">
        <f aca="false">DEGREES(_xlfn.ACOT( SIGN( ( COS(R$313)  *  COS($A333)))  /  SQRT(  ( TAN(R$313))^2   +  ( _xlfn.SEC(R$313)  *  TAN($A333))^2  )))</f>
        <v>102.952539642222</v>
      </c>
      <c r="S333" s="210" t="n">
        <f aca="false">DEGREES(_xlfn.ACOT( SIGN( ( COS(S$313)  *  COS($A333)))  /  SQRT(  ( TAN(S$313))^2   +  ( _xlfn.SEC(S$313)  *  TAN($A333))^2  )))</f>
        <v>100.5452905895</v>
      </c>
      <c r="T333" s="210" t="n">
        <f aca="false">DEGREES(_xlfn.ACOT( SIGN( ( COS(T$313)  *  COS($A333)))  /  SQRT(  ( TAN(T$313))^2   +  ( _xlfn.SEC(T$313)  *  TAN($A333))^2  )))</f>
        <v>97.4354722261318</v>
      </c>
      <c r="U333" s="210" t="n">
        <f aca="false">DEGREES(_xlfn.ACOT( SIGN( ( COS(U$313)  *  COS($A333)))  /  SQRT(  ( TAN(U$313))^2   +  ( _xlfn.SEC(U$313)  *  TAN($A333))^2  )))</f>
        <v>93.8409657162582</v>
      </c>
      <c r="V333" s="234" t="n">
        <f aca="false">DEGREES(_xlfn.ACOT( SIGN( ( COS(V$313)  *  COS($A333)))  /  SQRT(  ( TAN(V$313))^2   +  ( _xlfn.SEC(V$313)  *  TAN($A333))^2  )))</f>
        <v>90</v>
      </c>
      <c r="W333" s="210" t="n">
        <f aca="false">DEGREES(_xlfn.ACOT( SIGN( ( COS(W$313)  *  COS($A333)))  /  SQRT(  ( TAN(W$313))^2   +  ( _xlfn.SEC(W$313)  *  TAN($A333))^2  )))</f>
        <v>86.1590342837419</v>
      </c>
      <c r="X333" s="210" t="n">
        <f aca="false">DEGREES(_xlfn.ACOT( SIGN( ( COS(X$313)  *  COS($A333)))  /  SQRT(  ( TAN(X$313))^2   +  ( _xlfn.SEC(X$313)  *  TAN($A333))^2  )))</f>
        <v>82.5645277738682</v>
      </c>
      <c r="Y333" s="210" t="n">
        <f aca="false">DEGREES(_xlfn.ACOT( SIGN( ( COS(Y$313)  *  COS($A333)))  /  SQRT(  ( TAN(Y$313))^2   +  ( _xlfn.SEC(Y$313)  *  TAN($A333))^2  )))</f>
        <v>79.4547094105004</v>
      </c>
      <c r="Z333" s="210" t="n">
        <f aca="false">DEGREES(_xlfn.ACOT( SIGN( ( COS(Z$313)  *  COS($A333)))  /  SQRT(  ( TAN(Z$313))^2   +  ( _xlfn.SEC(Z$313)  *  TAN($A333))^2  )))</f>
        <v>77.0474603577776</v>
      </c>
      <c r="AA333" s="210" t="n">
        <f aca="false">DEGREES(_xlfn.ACOT( SIGN( ( COS(AA$313)  *  COS($A333)))  /  SQRT(  ( TAN(AA$313))^2   +  ( _xlfn.SEC(AA$313)  *  TAN($A333))^2  )))</f>
        <v>75.5224878140701</v>
      </c>
      <c r="AB333" s="234" t="n">
        <f aca="false">DEGREES(_xlfn.ACOT( SIGN( ( COS(AB$313)  *  COS($A333)))  /  SQRT(  ( TAN(AB$313))^2   +  ( _xlfn.SEC(AB$313)  *  TAN($A333))^2  )))</f>
        <v>75.0000002338298</v>
      </c>
      <c r="AC333" s="195" t="n">
        <f aca="false">DEGREES(_xlfn.ACOT( SIGN( ( COS(AC$313)  *  COS($A333)))  /  SQRT(  ( TAN(AC$313))^2   +  ( _xlfn.SEC(AC$313)  *  TAN($A333))^2  )))</f>
        <v>75</v>
      </c>
      <c r="AD333" s="195" t="n">
        <f aca="false">DEGREES(_xlfn.ACOT( SIGN( ( COS(AD$313)  *  COS($A333)))  /  SQRT(  ( TAN(AD$313))^2   +  ( _xlfn.SEC(AD$313)  *  TAN($A333))^2  )))</f>
        <v>75</v>
      </c>
      <c r="AE333" s="1"/>
      <c r="AF333" s="1"/>
      <c r="AG333" s="1"/>
      <c r="AH333" s="1"/>
      <c r="AI333" s="1"/>
      <c r="AJ333" s="1"/>
      <c r="AK333" s="1"/>
      <c r="AL333" s="1"/>
    </row>
    <row r="334" customFormat="false" ht="12.75" hidden="false" customHeight="true" outlineLevel="0" collapsed="false">
      <c r="A334" s="193" t="n">
        <f aca="false">RADIANS(MOD(B334-180,-360)+180)</f>
        <v>-1.0471975511966</v>
      </c>
      <c r="B334" s="182" t="n">
        <v>300</v>
      </c>
      <c r="C334" s="1"/>
      <c r="D334" s="234" t="n">
        <f aca="false">DEGREES(_xlfn.ACOT( SIGN( ( COS(D$313)  *  COS($A334)))  /  SQRT(  ( TAN(D$313))^2   +  ( _xlfn.SEC(D$313)  *  TAN($A334))^2  )))</f>
        <v>60.0000000050383</v>
      </c>
      <c r="E334" s="210" t="n">
        <f aca="false">DEGREES(_xlfn.ACOT( SIGN( ( COS(E$313)  *  COS($A334)))  /  SQRT(  ( TAN(E$313))^2   +  ( _xlfn.SEC(E$313)  *  TAN($A334))^2  )))</f>
        <v>61.1209059825724</v>
      </c>
      <c r="F334" s="210" t="n">
        <f aca="false">DEGREES(_xlfn.ACOT( SIGN( ( COS(F$313)  *  COS($A334)))  /  SQRT(  ( TAN(F$313))^2   +  ( _xlfn.SEC(F$313)  *  TAN($A334))^2  )))</f>
        <v>64.3410937267447</v>
      </c>
      <c r="G334" s="210" t="n">
        <f aca="false">DEGREES(_xlfn.ACOT( SIGN( ( COS(G$313)  *  COS($A334)))  /  SQRT(  ( TAN(G$313))^2   +  ( _xlfn.SEC(G$313)  *  TAN($A334))^2  )))</f>
        <v>69.2951889453646</v>
      </c>
      <c r="H334" s="210" t="n">
        <f aca="false">DEGREES(_xlfn.ACOT( SIGN( ( COS(H$313)  *  COS($A334)))  /  SQRT(  ( TAN(H$313))^2   +  ( _xlfn.SEC(H$313)  *  TAN($A334))^2  )))</f>
        <v>75.5224878140701</v>
      </c>
      <c r="I334" s="210" t="n">
        <f aca="false">DEGREES(_xlfn.ACOT( SIGN( ( COS(I$313)  *  COS($A334)))  /  SQRT(  ( TAN(I$313))^2   +  ( _xlfn.SEC(I$313)  *  TAN($A334))^2  )))</f>
        <v>82.5645277738682</v>
      </c>
      <c r="J334" s="234" t="n">
        <f aca="false">DEGREES(_xlfn.ACOT( SIGN( ( COS(J$313)  *  COS($A334)))  /  SQRT(  ( TAN(J$313))^2   +  ( _xlfn.SEC(J$313)  *  TAN($A334))^2  )))</f>
        <v>90</v>
      </c>
      <c r="K334" s="210" t="n">
        <f aca="false">DEGREES(_xlfn.ACOT( SIGN( ( COS(K$313)  *  COS($A334)))  /  SQRT(  ( TAN(K$313))^2   +  ( _xlfn.SEC(K$313)  *  TAN($A334))^2  )))</f>
        <v>97.4354722261319</v>
      </c>
      <c r="L334" s="210" t="n">
        <f aca="false">DEGREES(_xlfn.ACOT( SIGN( ( COS(L$313)  *  COS($A334)))  /  SQRT(  ( TAN(L$313))^2   +  ( _xlfn.SEC(L$313)  *  TAN($A334))^2  )))</f>
        <v>104.47751218593</v>
      </c>
      <c r="M334" s="210" t="n">
        <f aca="false">DEGREES(_xlfn.ACOT( SIGN( ( COS(M$313)  *  COS($A334)))  /  SQRT(  ( TAN(M$313))^2   +  ( _xlfn.SEC(M$313)  *  TAN($A334))^2  )))</f>
        <v>110.704811054635</v>
      </c>
      <c r="N334" s="210" t="n">
        <f aca="false">DEGREES(_xlfn.ACOT( SIGN( ( COS(N$313)  *  COS($A334)))  /  SQRT(  ( TAN(N$313))^2   +  ( _xlfn.SEC(N$313)  *  TAN($A334))^2  )))</f>
        <v>115.658906273255</v>
      </c>
      <c r="O334" s="210" t="n">
        <f aca="false">DEGREES(_xlfn.ACOT( SIGN( ( COS(O$313)  *  COS($A334)))  /  SQRT(  ( TAN(O$313))^2   +  ( _xlfn.SEC(O$313)  *  TAN($A334))^2  )))</f>
        <v>118.879094017428</v>
      </c>
      <c r="P334" s="234" t="n">
        <f aca="false">DEGREES(_xlfn.ACOT( SIGN( ( COS(P$313)  *  COS($A334)))  /  SQRT(  ( TAN(P$313))^2   +  ( _xlfn.SEC(P$313)  *  TAN($A334))^2  )))</f>
        <v>120</v>
      </c>
      <c r="Q334" s="210" t="n">
        <f aca="false">DEGREES(_xlfn.ACOT( SIGN( ( COS(Q$313)  *  COS($A334)))  /  SQRT(  ( TAN(Q$313))^2   +  ( _xlfn.SEC(Q$313)  *  TAN($A334))^2  )))</f>
        <v>118.879094017428</v>
      </c>
      <c r="R334" s="210" t="n">
        <f aca="false">DEGREES(_xlfn.ACOT( SIGN( ( COS(R$313)  *  COS($A334)))  /  SQRT(  ( TAN(R$313))^2   +  ( _xlfn.SEC(R$313)  *  TAN($A334))^2  )))</f>
        <v>115.658906273255</v>
      </c>
      <c r="S334" s="210" t="n">
        <f aca="false">DEGREES(_xlfn.ACOT( SIGN( ( COS(S$313)  *  COS($A334)))  /  SQRT(  ( TAN(S$313))^2   +  ( _xlfn.SEC(S$313)  *  TAN($A334))^2  )))</f>
        <v>110.704811054635</v>
      </c>
      <c r="T334" s="210" t="n">
        <f aca="false">DEGREES(_xlfn.ACOT( SIGN( ( COS(T$313)  *  COS($A334)))  /  SQRT(  ( TAN(T$313))^2   +  ( _xlfn.SEC(T$313)  *  TAN($A334))^2  )))</f>
        <v>104.47751218593</v>
      </c>
      <c r="U334" s="210" t="n">
        <f aca="false">DEGREES(_xlfn.ACOT( SIGN( ( COS(U$313)  *  COS($A334)))  /  SQRT(  ( TAN(U$313))^2   +  ( _xlfn.SEC(U$313)  *  TAN($A334))^2  )))</f>
        <v>97.4354722261319</v>
      </c>
      <c r="V334" s="234" t="n">
        <f aca="false">DEGREES(_xlfn.ACOT( SIGN( ( COS(V$313)  *  COS($A334)))  /  SQRT(  ( TAN(V$313))^2   +  ( _xlfn.SEC(V$313)  *  TAN($A334))^2  )))</f>
        <v>90</v>
      </c>
      <c r="W334" s="210" t="n">
        <f aca="false">DEGREES(_xlfn.ACOT( SIGN( ( COS(W$313)  *  COS($A334)))  /  SQRT(  ( TAN(W$313))^2   +  ( _xlfn.SEC(W$313)  *  TAN($A334))^2  )))</f>
        <v>82.5645277738682</v>
      </c>
      <c r="X334" s="210" t="n">
        <f aca="false">DEGREES(_xlfn.ACOT( SIGN( ( COS(X$313)  *  COS($A334)))  /  SQRT(  ( TAN(X$313))^2   +  ( _xlfn.SEC(X$313)  *  TAN($A334))^2  )))</f>
        <v>75.5224878140701</v>
      </c>
      <c r="Y334" s="210" t="n">
        <f aca="false">DEGREES(_xlfn.ACOT( SIGN( ( COS(Y$313)  *  COS($A334)))  /  SQRT(  ( TAN(Y$313))^2   +  ( _xlfn.SEC(Y$313)  *  TAN($A334))^2  )))</f>
        <v>69.2951889453646</v>
      </c>
      <c r="Z334" s="210" t="n">
        <f aca="false">DEGREES(_xlfn.ACOT( SIGN( ( COS(Z$313)  *  COS($A334)))  /  SQRT(  ( TAN(Z$313))^2   +  ( _xlfn.SEC(Z$313)  *  TAN($A334))^2  )))</f>
        <v>64.3410937267447</v>
      </c>
      <c r="AA334" s="210" t="n">
        <f aca="false">DEGREES(_xlfn.ACOT( SIGN( ( COS(AA$313)  *  COS($A334)))  /  SQRT(  ( TAN(AA$313))^2   +  ( _xlfn.SEC(AA$313)  *  TAN($A334))^2  )))</f>
        <v>61.1209059825724</v>
      </c>
      <c r="AB334" s="234" t="n">
        <f aca="false">DEGREES(_xlfn.ACOT( SIGN( ( COS(AB$313)  *  COS($A334)))  /  SQRT(  ( TAN(AB$313))^2   +  ( _xlfn.SEC(AB$313)  *  TAN($A334))^2  )))</f>
        <v>60.0000005038332</v>
      </c>
      <c r="AC334" s="195" t="n">
        <f aca="false">DEGREES(_xlfn.ACOT( SIGN( ( COS(AC$313)  *  COS($A334)))  /  SQRT(  ( TAN(AC$313))^2   +  ( _xlfn.SEC(AC$313)  *  TAN($A334))^2  )))</f>
        <v>60</v>
      </c>
      <c r="AD334" s="195" t="n">
        <f aca="false">DEGREES(_xlfn.ACOT( SIGN( ( COS(AD$313)  *  COS($A334)))  /  SQRT(  ( TAN(AD$313))^2   +  ( _xlfn.SEC(AD$313)  *  TAN($A334))^2  )))</f>
        <v>60</v>
      </c>
      <c r="AE334" s="1"/>
      <c r="AF334" s="1"/>
      <c r="AG334" s="1"/>
      <c r="AH334" s="1"/>
      <c r="AI334" s="1"/>
      <c r="AJ334" s="1"/>
      <c r="AK334" s="1"/>
      <c r="AL334" s="1"/>
    </row>
    <row r="335" customFormat="false" ht="12.75" hidden="false" customHeight="true" outlineLevel="0" collapsed="false">
      <c r="A335" s="193" t="n">
        <f aca="false">RADIANS(MOD(B335-180,-360)+180)</f>
        <v>-0.785398163397448</v>
      </c>
      <c r="B335" s="182" t="n">
        <v>315</v>
      </c>
      <c r="C335" s="1"/>
      <c r="D335" s="234" t="n">
        <f aca="false">DEGREES(_xlfn.ACOT( SIGN( ( COS(D$313)  *  COS($A335)))  /  SQRT(  ( TAN(D$313))^2   +  ( _xlfn.SEC(D$313)  *  TAN($A335))^2  )))</f>
        <v>45.0000000087266</v>
      </c>
      <c r="E335" s="210" t="n">
        <f aca="false">DEGREES(_xlfn.ACOT( SIGN( ( COS(E$313)  *  COS($A335)))  /  SQRT(  ( TAN(E$313))^2   +  ( _xlfn.SEC(E$313)  *  TAN($A335))^2  )))</f>
        <v>46.9204828581291</v>
      </c>
      <c r="F335" s="210" t="n">
        <f aca="false">DEGREES(_xlfn.ACOT( SIGN( ( COS(F$313)  *  COS($A335)))  /  SQRT(  ( TAN(F$313))^2   +  ( _xlfn.SEC(F$313)  *  TAN($A335))^2  )))</f>
        <v>52.238756092965</v>
      </c>
      <c r="G335" s="210" t="n">
        <f aca="false">DEGREES(_xlfn.ACOT( SIGN( ( COS(G$313)  *  COS($A335)))  /  SQRT(  ( TAN(G$313))^2   +  ( _xlfn.SEC(G$313)  *  TAN($A335))^2  )))</f>
        <v>60</v>
      </c>
      <c r="H335" s="210" t="n">
        <f aca="false">DEGREES(_xlfn.ACOT( SIGN( ( COS(H$313)  *  COS($A335)))  /  SQRT(  ( TAN(H$313))^2   +  ( _xlfn.SEC(H$313)  *  TAN($A335))^2  )))</f>
        <v>69.2951889453646</v>
      </c>
      <c r="I335" s="210" t="n">
        <f aca="false">DEGREES(_xlfn.ACOT( SIGN( ( COS(I$313)  *  COS($A335)))  /  SQRT(  ( TAN(I$313))^2   +  ( _xlfn.SEC(I$313)  *  TAN($A335))^2  )))</f>
        <v>79.4547094105004</v>
      </c>
      <c r="J335" s="234" t="n">
        <f aca="false">DEGREES(_xlfn.ACOT( SIGN( ( COS(J$313)  *  COS($A335)))  /  SQRT(  ( TAN(J$313))^2   +  ( _xlfn.SEC(J$313)  *  TAN($A335))^2  )))</f>
        <v>90</v>
      </c>
      <c r="K335" s="210" t="n">
        <f aca="false">DEGREES(_xlfn.ACOT( SIGN( ( COS(K$313)  *  COS($A335)))  /  SQRT(  ( TAN(K$313))^2   +  ( _xlfn.SEC(K$313)  *  TAN($A335))^2  )))</f>
        <v>100.5452905895</v>
      </c>
      <c r="L335" s="210" t="n">
        <f aca="false">DEGREES(_xlfn.ACOT( SIGN( ( COS(L$313)  *  COS($A335)))  /  SQRT(  ( TAN(L$313))^2   +  ( _xlfn.SEC(L$313)  *  TAN($A335))^2  )))</f>
        <v>110.704811054635</v>
      </c>
      <c r="M335" s="210" t="n">
        <f aca="false">DEGREES(_xlfn.ACOT( SIGN( ( COS(M$313)  *  COS($A335)))  /  SQRT(  ( TAN(M$313))^2   +  ( _xlfn.SEC(M$313)  *  TAN($A335))^2  )))</f>
        <v>120</v>
      </c>
      <c r="N335" s="210" t="n">
        <f aca="false">DEGREES(_xlfn.ACOT( SIGN( ( COS(N$313)  *  COS($A335)))  /  SQRT(  ( TAN(N$313))^2   +  ( _xlfn.SEC(N$313)  *  TAN($A335))^2  )))</f>
        <v>127.761243907035</v>
      </c>
      <c r="O335" s="210" t="n">
        <f aca="false">DEGREES(_xlfn.ACOT( SIGN( ( COS(O$313)  *  COS($A335)))  /  SQRT(  ( TAN(O$313))^2   +  ( _xlfn.SEC(O$313)  *  TAN($A335))^2  )))</f>
        <v>133.079517141871</v>
      </c>
      <c r="P335" s="234" t="n">
        <f aca="false">DEGREES(_xlfn.ACOT( SIGN( ( COS(P$313)  *  COS($A335)))  /  SQRT(  ( TAN(P$313))^2   +  ( _xlfn.SEC(P$313)  *  TAN($A335))^2  )))</f>
        <v>135</v>
      </c>
      <c r="Q335" s="210" t="n">
        <f aca="false">DEGREES(_xlfn.ACOT( SIGN( ( COS(Q$313)  *  COS($A335)))  /  SQRT(  ( TAN(Q$313))^2   +  ( _xlfn.SEC(Q$313)  *  TAN($A335))^2  )))</f>
        <v>133.079517141871</v>
      </c>
      <c r="R335" s="210" t="n">
        <f aca="false">DEGREES(_xlfn.ACOT( SIGN( ( COS(R$313)  *  COS($A335)))  /  SQRT(  ( TAN(R$313))^2   +  ( _xlfn.SEC(R$313)  *  TAN($A335))^2  )))</f>
        <v>127.761243907035</v>
      </c>
      <c r="S335" s="210" t="n">
        <f aca="false">DEGREES(_xlfn.ACOT( SIGN( ( COS(S$313)  *  COS($A335)))  /  SQRT(  ( TAN(S$313))^2   +  ( _xlfn.SEC(S$313)  *  TAN($A335))^2  )))</f>
        <v>120</v>
      </c>
      <c r="T335" s="210" t="n">
        <f aca="false">DEGREES(_xlfn.ACOT( SIGN( ( COS(T$313)  *  COS($A335)))  /  SQRT(  ( TAN(T$313))^2   +  ( _xlfn.SEC(T$313)  *  TAN($A335))^2  )))</f>
        <v>110.704811054635</v>
      </c>
      <c r="U335" s="210" t="n">
        <f aca="false">DEGREES(_xlfn.ACOT( SIGN( ( COS(U$313)  *  COS($A335)))  /  SQRT(  ( TAN(U$313))^2   +  ( _xlfn.SEC(U$313)  *  TAN($A335))^2  )))</f>
        <v>100.5452905895</v>
      </c>
      <c r="V335" s="234" t="n">
        <f aca="false">DEGREES(_xlfn.ACOT( SIGN( ( COS(V$313)  *  COS($A335)))  /  SQRT(  ( TAN(V$313))^2   +  ( _xlfn.SEC(V$313)  *  TAN($A335))^2  )))</f>
        <v>90</v>
      </c>
      <c r="W335" s="210" t="n">
        <f aca="false">DEGREES(_xlfn.ACOT( SIGN( ( COS(W$313)  *  COS($A335)))  /  SQRT(  ( TAN(W$313))^2   +  ( _xlfn.SEC(W$313)  *  TAN($A335))^2  )))</f>
        <v>79.4547094105004</v>
      </c>
      <c r="X335" s="210" t="n">
        <f aca="false">DEGREES(_xlfn.ACOT( SIGN( ( COS(X$313)  *  COS($A335)))  /  SQRT(  ( TAN(X$313))^2   +  ( _xlfn.SEC(X$313)  *  TAN($A335))^2  )))</f>
        <v>69.2951889453646</v>
      </c>
      <c r="Y335" s="210" t="n">
        <f aca="false">DEGREES(_xlfn.ACOT( SIGN( ( COS(Y$313)  *  COS($A335)))  /  SQRT(  ( TAN(Y$313))^2   +  ( _xlfn.SEC(Y$313)  *  TAN($A335))^2  )))</f>
        <v>60</v>
      </c>
      <c r="Z335" s="210" t="n">
        <f aca="false">DEGREES(_xlfn.ACOT( SIGN( ( COS(Z$313)  *  COS($A335)))  /  SQRT(  ( TAN(Z$313))^2   +  ( _xlfn.SEC(Z$313)  *  TAN($A335))^2  )))</f>
        <v>52.238756092965</v>
      </c>
      <c r="AA335" s="210" t="n">
        <f aca="false">DEGREES(_xlfn.ACOT( SIGN( ( COS(AA$313)  *  COS($A335)))  /  SQRT(  ( TAN(AA$313))^2   +  ( _xlfn.SEC(AA$313)  *  TAN($A335))^2  )))</f>
        <v>46.9204828581291</v>
      </c>
      <c r="AB335" s="234" t="n">
        <f aca="false">DEGREES(_xlfn.ACOT( SIGN( ( COS(AB$313)  *  COS($A335)))  /  SQRT(  ( TAN(AB$313))^2   +  ( _xlfn.SEC(AB$313)  *  TAN($A335))^2  )))</f>
        <v>45.0000008726646</v>
      </c>
      <c r="AC335" s="195" t="n">
        <f aca="false">DEGREES(_xlfn.ACOT( SIGN( ( COS(AC$313)  *  COS($A335)))  /  SQRT(  ( TAN(AC$313))^2   +  ( _xlfn.SEC(AC$313)  *  TAN($A335))^2  )))</f>
        <v>45</v>
      </c>
      <c r="AD335" s="195" t="n">
        <f aca="false">DEGREES(_xlfn.ACOT( SIGN( ( COS(AD$313)  *  COS($A335)))  /  SQRT(  ( TAN(AD$313))^2   +  ( _xlfn.SEC(AD$313)  *  TAN($A335))^2  )))</f>
        <v>45</v>
      </c>
      <c r="AE335" s="1"/>
      <c r="AF335" s="1"/>
      <c r="AG335" s="1"/>
      <c r="AH335" s="1"/>
      <c r="AI335" s="1"/>
      <c r="AJ335" s="1"/>
      <c r="AK335" s="1"/>
      <c r="AL335" s="1"/>
    </row>
    <row r="336" customFormat="false" ht="12.75" hidden="false" customHeight="true" outlineLevel="0" collapsed="false">
      <c r="A336" s="193" t="n">
        <f aca="false">RADIANS(MOD(B336-180,-360)+180)</f>
        <v>-0.523598775598299</v>
      </c>
      <c r="B336" s="182" t="n">
        <v>330</v>
      </c>
      <c r="C336" s="1"/>
      <c r="D336" s="234" t="n">
        <f aca="false">DEGREES(_xlfn.ACOT( SIGN( ( COS(D$313)  *  COS($A336)))  /  SQRT(  ( TAN(D$313))^2   +  ( _xlfn.SEC(D$313)  *  TAN($A336))^2  )))</f>
        <v>30.000000015115</v>
      </c>
      <c r="E336" s="210" t="n">
        <f aca="false">DEGREES(_xlfn.ACOT( SIGN( ( COS(E$313)  *  COS($A336)))  /  SQRT(  ( TAN(E$313))^2   +  ( _xlfn.SEC(E$313)  *  TAN($A336))^2  )))</f>
        <v>33.2259422032876</v>
      </c>
      <c r="F336" s="210" t="n">
        <f aca="false">DEGREES(_xlfn.ACOT( SIGN( ( COS(F$313)  *  COS($A336)))  /  SQRT(  ( TAN(F$313))^2   +  ( _xlfn.SEC(F$313)  *  TAN($A336))^2  )))</f>
        <v>41.4096221092709</v>
      </c>
      <c r="G336" s="210" t="n">
        <f aca="false">DEGREES(_xlfn.ACOT( SIGN( ( COS(G$313)  *  COS($A336)))  /  SQRT(  ( TAN(G$313))^2   +  ( _xlfn.SEC(G$313)  *  TAN($A336))^2  )))</f>
        <v>52.238756092965</v>
      </c>
      <c r="H336" s="210" t="n">
        <f aca="false">DEGREES(_xlfn.ACOT( SIGN( ( COS(H$313)  *  COS($A336)))  /  SQRT(  ( TAN(H$313))^2   +  ( _xlfn.SEC(H$313)  *  TAN($A336))^2  )))</f>
        <v>64.3410937267447</v>
      </c>
      <c r="I336" s="210" t="n">
        <f aca="false">DEGREES(_xlfn.ACOT( SIGN( ( COS(I$313)  *  COS($A336)))  /  SQRT(  ( TAN(I$313))^2   +  ( _xlfn.SEC(I$313)  *  TAN($A336))^2  )))</f>
        <v>77.0474603577776</v>
      </c>
      <c r="J336" s="234" t="n">
        <f aca="false">DEGREES(_xlfn.ACOT( SIGN( ( COS(J$313)  *  COS($A336)))  /  SQRT(  ( TAN(J$313))^2   +  ( _xlfn.SEC(J$313)  *  TAN($A336))^2  )))</f>
        <v>90</v>
      </c>
      <c r="K336" s="210" t="n">
        <f aca="false">DEGREES(_xlfn.ACOT( SIGN( ( COS(K$313)  *  COS($A336)))  /  SQRT(  ( TAN(K$313))^2   +  ( _xlfn.SEC(K$313)  *  TAN($A336))^2  )))</f>
        <v>102.952539642222</v>
      </c>
      <c r="L336" s="210" t="n">
        <f aca="false">DEGREES(_xlfn.ACOT( SIGN( ( COS(L$313)  *  COS($A336)))  /  SQRT(  ( TAN(L$313))^2   +  ( _xlfn.SEC(L$313)  *  TAN($A336))^2  )))</f>
        <v>115.658906273255</v>
      </c>
      <c r="M336" s="210" t="n">
        <f aca="false">DEGREES(_xlfn.ACOT( SIGN( ( COS(M$313)  *  COS($A336)))  /  SQRT(  ( TAN(M$313))^2   +  ( _xlfn.SEC(M$313)  *  TAN($A336))^2  )))</f>
        <v>127.761243907035</v>
      </c>
      <c r="N336" s="210" t="n">
        <f aca="false">DEGREES(_xlfn.ACOT( SIGN( ( COS(N$313)  *  COS($A336)))  /  SQRT(  ( TAN(N$313))^2   +  ( _xlfn.SEC(N$313)  *  TAN($A336))^2  )))</f>
        <v>138.590377890729</v>
      </c>
      <c r="O336" s="210" t="n">
        <f aca="false">DEGREES(_xlfn.ACOT( SIGN( ( COS(O$313)  *  COS($A336)))  /  SQRT(  ( TAN(O$313))^2   +  ( _xlfn.SEC(O$313)  *  TAN($A336))^2  )))</f>
        <v>146.774057796712</v>
      </c>
      <c r="P336" s="234" t="n">
        <f aca="false">DEGREES(_xlfn.ACOT( SIGN( ( COS(P$313)  *  COS($A336)))  /  SQRT(  ( TAN(P$313))^2   +  ( _xlfn.SEC(P$313)  *  TAN($A336))^2  )))</f>
        <v>150</v>
      </c>
      <c r="Q336" s="210" t="n">
        <f aca="false">DEGREES(_xlfn.ACOT( SIGN( ( COS(Q$313)  *  COS($A336)))  /  SQRT(  ( TAN(Q$313))^2   +  ( _xlfn.SEC(Q$313)  *  TAN($A336))^2  )))</f>
        <v>146.774057796712</v>
      </c>
      <c r="R336" s="210" t="n">
        <f aca="false">DEGREES(_xlfn.ACOT( SIGN( ( COS(R$313)  *  COS($A336)))  /  SQRT(  ( TAN(R$313))^2   +  ( _xlfn.SEC(R$313)  *  TAN($A336))^2  )))</f>
        <v>138.590377890729</v>
      </c>
      <c r="S336" s="210" t="n">
        <f aca="false">DEGREES(_xlfn.ACOT( SIGN( ( COS(S$313)  *  COS($A336)))  /  SQRT(  ( TAN(S$313))^2   +  ( _xlfn.SEC(S$313)  *  TAN($A336))^2  )))</f>
        <v>127.761243907035</v>
      </c>
      <c r="T336" s="210" t="n">
        <f aca="false">DEGREES(_xlfn.ACOT( SIGN( ( COS(T$313)  *  COS($A336)))  /  SQRT(  ( TAN(T$313))^2   +  ( _xlfn.SEC(T$313)  *  TAN($A336))^2  )))</f>
        <v>115.658906273255</v>
      </c>
      <c r="U336" s="210" t="n">
        <f aca="false">DEGREES(_xlfn.ACOT( SIGN( ( COS(U$313)  *  COS($A336)))  /  SQRT(  ( TAN(U$313))^2   +  ( _xlfn.SEC(U$313)  *  TAN($A336))^2  )))</f>
        <v>102.952539642222</v>
      </c>
      <c r="V336" s="234" t="n">
        <f aca="false">DEGREES(_xlfn.ACOT( SIGN( ( COS(V$313)  *  COS($A336)))  /  SQRT(  ( TAN(V$313))^2   +  ( _xlfn.SEC(V$313)  *  TAN($A336))^2  )))</f>
        <v>90</v>
      </c>
      <c r="W336" s="210" t="n">
        <f aca="false">DEGREES(_xlfn.ACOT( SIGN( ( COS(W$313)  *  COS($A336)))  /  SQRT(  ( TAN(W$313))^2   +  ( _xlfn.SEC(W$313)  *  TAN($A336))^2  )))</f>
        <v>77.0474603577776</v>
      </c>
      <c r="X336" s="210" t="n">
        <f aca="false">DEGREES(_xlfn.ACOT( SIGN( ( COS(X$313)  *  COS($A336)))  /  SQRT(  ( TAN(X$313))^2   +  ( _xlfn.SEC(X$313)  *  TAN($A336))^2  )))</f>
        <v>64.3410937267447</v>
      </c>
      <c r="Y336" s="210" t="n">
        <f aca="false">DEGREES(_xlfn.ACOT( SIGN( ( COS(Y$313)  *  COS($A336)))  /  SQRT(  ( TAN(Y$313))^2   +  ( _xlfn.SEC(Y$313)  *  TAN($A336))^2  )))</f>
        <v>52.238756092965</v>
      </c>
      <c r="Z336" s="210" t="n">
        <f aca="false">DEGREES(_xlfn.ACOT( SIGN( ( COS(Z$313)  *  COS($A336)))  /  SQRT(  ( TAN(Z$313))^2   +  ( _xlfn.SEC(Z$313)  *  TAN($A336))^2  )))</f>
        <v>41.4096221092709</v>
      </c>
      <c r="AA336" s="210" t="n">
        <f aca="false">DEGREES(_xlfn.ACOT( SIGN( ( COS(AA$313)  *  COS($A336)))  /  SQRT(  ( TAN(AA$313))^2   +  ( _xlfn.SEC(AA$313)  *  TAN($A336))^2  )))</f>
        <v>33.2259422032876</v>
      </c>
      <c r="AB336" s="234" t="n">
        <f aca="false">DEGREES(_xlfn.ACOT( SIGN( ( COS(AB$313)  *  COS($A336)))  /  SQRT(  ( TAN(AB$313))^2   +  ( _xlfn.SEC(AB$313)  *  TAN($A336))^2  )))</f>
        <v>30.0000015114994</v>
      </c>
      <c r="AC336" s="195" t="n">
        <f aca="false">DEGREES(_xlfn.ACOT( SIGN( ( COS(AC$313)  *  COS($A336)))  /  SQRT(  ( TAN(AC$313))^2   +  ( _xlfn.SEC(AC$313)  *  TAN($A336))^2  )))</f>
        <v>30</v>
      </c>
      <c r="AD336" s="195" t="n">
        <f aca="false">DEGREES(_xlfn.ACOT( SIGN( ( COS(AD$313)  *  COS($A336)))  /  SQRT(  ( TAN(AD$313))^2   +  ( _xlfn.SEC(AD$313)  *  TAN($A336))^2  )))</f>
        <v>30</v>
      </c>
      <c r="AE336" s="1"/>
      <c r="AF336" s="1"/>
      <c r="AG336" s="1"/>
      <c r="AH336" s="1"/>
      <c r="AI336" s="1"/>
      <c r="AJ336" s="1"/>
      <c r="AK336" s="1"/>
      <c r="AL336" s="1"/>
    </row>
    <row r="337" customFormat="false" ht="12.75" hidden="false" customHeight="true" outlineLevel="0" collapsed="false">
      <c r="A337" s="193" t="n">
        <f aca="false">RADIANS(MOD(B337-180,-360)+180)</f>
        <v>-0.261799387799149</v>
      </c>
      <c r="B337" s="182" t="n">
        <v>345</v>
      </c>
      <c r="C337" s="1"/>
      <c r="D337" s="234" t="n">
        <f aca="false">DEGREES(_xlfn.ACOT( SIGN( ( COS(D$313)  *  COS($A337)))  /  SQRT(  ( TAN(D$313))^2   +  ( _xlfn.SEC(D$313)  *  TAN($A337))^2  )))</f>
        <v>15.0000000325683</v>
      </c>
      <c r="E337" s="210" t="n">
        <f aca="false">DEGREES(_xlfn.ACOT( SIGN( ( COS(E$313)  *  COS($A337)))  /  SQRT(  ( TAN(E$313))^2   +  ( _xlfn.SEC(E$313)  *  TAN($A337))^2  )))</f>
        <v>21.0905811789991</v>
      </c>
      <c r="F337" s="210" t="n">
        <f aca="false">DEGREES(_xlfn.ACOT( SIGN( ( COS(F$313)  *  COS($A337)))  /  SQRT(  ( TAN(F$313))^2   +  ( _xlfn.SEC(F$313)  *  TAN($A337))^2  )))</f>
        <v>33.2259422032876</v>
      </c>
      <c r="G337" s="210" t="n">
        <f aca="false">DEGREES(_xlfn.ACOT( SIGN( ( COS(G$313)  *  COS($A337)))  /  SQRT(  ( TAN(G$313))^2   +  ( _xlfn.SEC(G$313)  *  TAN($A337))^2  )))</f>
        <v>46.9204828581291</v>
      </c>
      <c r="H337" s="210" t="n">
        <f aca="false">DEGREES(_xlfn.ACOT( SIGN( ( COS(H$313)  *  COS($A337)))  /  SQRT(  ( TAN(H$313))^2   +  ( _xlfn.SEC(H$313)  *  TAN($A337))^2  )))</f>
        <v>61.1209059825724</v>
      </c>
      <c r="I337" s="210" t="n">
        <f aca="false">DEGREES(_xlfn.ACOT( SIGN( ( COS(I$313)  *  COS($A337)))  /  SQRT(  ( TAN(I$313))^2   +  ( _xlfn.SEC(I$313)  *  TAN($A337))^2  )))</f>
        <v>75.5224878140701</v>
      </c>
      <c r="J337" s="234" t="n">
        <f aca="false">DEGREES(_xlfn.ACOT( SIGN( ( COS(J$313)  *  COS($A337)))  /  SQRT(  ( TAN(J$313))^2   +  ( _xlfn.SEC(J$313)  *  TAN($A337))^2  )))</f>
        <v>90</v>
      </c>
      <c r="K337" s="210" t="n">
        <f aca="false">DEGREES(_xlfn.ACOT( SIGN( ( COS(K$313)  *  COS($A337)))  /  SQRT(  ( TAN(K$313))^2   +  ( _xlfn.SEC(K$313)  *  TAN($A337))^2  )))</f>
        <v>104.47751218593</v>
      </c>
      <c r="L337" s="210" t="n">
        <f aca="false">DEGREES(_xlfn.ACOT( SIGN( ( COS(L$313)  *  COS($A337)))  /  SQRT(  ( TAN(L$313))^2   +  ( _xlfn.SEC(L$313)  *  TAN($A337))^2  )))</f>
        <v>118.879094017428</v>
      </c>
      <c r="M337" s="210" t="n">
        <f aca="false">DEGREES(_xlfn.ACOT( SIGN( ( COS(M$313)  *  COS($A337)))  /  SQRT(  ( TAN(M$313))^2   +  ( _xlfn.SEC(M$313)  *  TAN($A337))^2  )))</f>
        <v>133.079517141871</v>
      </c>
      <c r="N337" s="210" t="n">
        <f aca="false">DEGREES(_xlfn.ACOT( SIGN( ( COS(N$313)  *  COS($A337)))  /  SQRT(  ( TAN(N$313))^2   +  ( _xlfn.SEC(N$313)  *  TAN($A337))^2  )))</f>
        <v>146.774057796712</v>
      </c>
      <c r="O337" s="210" t="n">
        <f aca="false">DEGREES(_xlfn.ACOT( SIGN( ( COS(O$313)  *  COS($A337)))  /  SQRT(  ( TAN(O$313))^2   +  ( _xlfn.SEC(O$313)  *  TAN($A337))^2  )))</f>
        <v>158.909418821001</v>
      </c>
      <c r="P337" s="234" t="n">
        <f aca="false">DEGREES(_xlfn.ACOT( SIGN( ( COS(P$313)  *  COS($A337)))  /  SQRT(  ( TAN(P$313))^2   +  ( _xlfn.SEC(P$313)  *  TAN($A337))^2  )))</f>
        <v>165</v>
      </c>
      <c r="Q337" s="210" t="n">
        <f aca="false">DEGREES(_xlfn.ACOT( SIGN( ( COS(Q$313)  *  COS($A337)))  /  SQRT(  ( TAN(Q$313))^2   +  ( _xlfn.SEC(Q$313)  *  TAN($A337))^2  )))</f>
        <v>158.909418821001</v>
      </c>
      <c r="R337" s="210" t="n">
        <f aca="false">DEGREES(_xlfn.ACOT( SIGN( ( COS(R$313)  *  COS($A337)))  /  SQRT(  ( TAN(R$313))^2   +  ( _xlfn.SEC(R$313)  *  TAN($A337))^2  )))</f>
        <v>146.774057796712</v>
      </c>
      <c r="S337" s="210" t="n">
        <f aca="false">DEGREES(_xlfn.ACOT( SIGN( ( COS(S$313)  *  COS($A337)))  /  SQRT(  ( TAN(S$313))^2   +  ( _xlfn.SEC(S$313)  *  TAN($A337))^2  )))</f>
        <v>133.079517141871</v>
      </c>
      <c r="T337" s="210" t="n">
        <f aca="false">DEGREES(_xlfn.ACOT( SIGN( ( COS(T$313)  *  COS($A337)))  /  SQRT(  ( TAN(T$313))^2   +  ( _xlfn.SEC(T$313)  *  TAN($A337))^2  )))</f>
        <v>118.879094017428</v>
      </c>
      <c r="U337" s="210" t="n">
        <f aca="false">DEGREES(_xlfn.ACOT( SIGN( ( COS(U$313)  *  COS($A337)))  /  SQRT(  ( TAN(U$313))^2   +  ( _xlfn.SEC(U$313)  *  TAN($A337))^2  )))</f>
        <v>104.47751218593</v>
      </c>
      <c r="V337" s="234" t="n">
        <f aca="false">DEGREES(_xlfn.ACOT( SIGN( ( COS(V$313)  *  COS($A337)))  /  SQRT(  ( TAN(V$313))^2   +  ( _xlfn.SEC(V$313)  *  TAN($A337))^2  )))</f>
        <v>90</v>
      </c>
      <c r="W337" s="210" t="n">
        <f aca="false">DEGREES(_xlfn.ACOT( SIGN( ( COS(W$313)  *  COS($A337)))  /  SQRT(  ( TAN(W$313))^2   +  ( _xlfn.SEC(W$313)  *  TAN($A337))^2  )))</f>
        <v>75.5224878140701</v>
      </c>
      <c r="X337" s="210" t="n">
        <f aca="false">DEGREES(_xlfn.ACOT( SIGN( ( COS(X$313)  *  COS($A337)))  /  SQRT(  ( TAN(X$313))^2   +  ( _xlfn.SEC(X$313)  *  TAN($A337))^2  )))</f>
        <v>61.1209059825724</v>
      </c>
      <c r="Y337" s="210" t="n">
        <f aca="false">DEGREES(_xlfn.ACOT( SIGN( ( COS(Y$313)  *  COS($A337)))  /  SQRT(  ( TAN(Y$313))^2   +  ( _xlfn.SEC(Y$313)  *  TAN($A337))^2  )))</f>
        <v>46.9204828581291</v>
      </c>
      <c r="Z337" s="210" t="n">
        <f aca="false">DEGREES(_xlfn.ACOT( SIGN( ( COS(Z$313)  *  COS($A337)))  /  SQRT(  ( TAN(Z$313))^2   +  ( _xlfn.SEC(Z$313)  *  TAN($A337))^2  )))</f>
        <v>33.2259422032876</v>
      </c>
      <c r="AA337" s="210" t="n">
        <f aca="false">DEGREES(_xlfn.ACOT( SIGN( ( COS(AA$313)  *  COS($A337)))  /  SQRT(  ( TAN(AA$313))^2   +  ( _xlfn.SEC(AA$313)  *  TAN($A337))^2  )))</f>
        <v>21.0905811789991</v>
      </c>
      <c r="AB337" s="234" t="n">
        <f aca="false">DEGREES(_xlfn.ACOT( SIGN( ( COS(AB$313)  *  COS($A337)))  /  SQRT(  ( TAN(AB$313))^2   +  ( _xlfn.SEC(AB$313)  *  TAN($A337))^2  )))</f>
        <v>15.0000032568284</v>
      </c>
      <c r="AC337" s="195" t="n">
        <f aca="false">DEGREES(_xlfn.ACOT( SIGN( ( COS(AC$313)  *  COS($A337)))  /  SQRT(  ( TAN(AC$313))^2   +  ( _xlfn.SEC(AC$313)  *  TAN($A337))^2  )))</f>
        <v>15</v>
      </c>
      <c r="AD337" s="195" t="n">
        <f aca="false">DEGREES(_xlfn.ACOT( SIGN( ( COS(AD$313)  *  COS($A337)))  /  SQRT(  ( TAN(AD$313))^2   +  ( _xlfn.SEC(AD$313)  *  TAN($A337))^2  )))</f>
        <v>15</v>
      </c>
      <c r="AE337" s="1"/>
      <c r="AF337" s="1"/>
      <c r="AG337" s="1"/>
      <c r="AH337" s="1"/>
      <c r="AI337" s="1"/>
      <c r="AJ337" s="1"/>
      <c r="AK337" s="1"/>
      <c r="AL337" s="1"/>
    </row>
    <row r="338" customFormat="false" ht="12.75" hidden="false" customHeight="true" outlineLevel="0" collapsed="false">
      <c r="A338" s="193" t="n">
        <f aca="false">RADIANS(MOD(B338-180,-360)+180)</f>
        <v>-0.000174532925199274</v>
      </c>
      <c r="B338" s="198" t="n">
        <v>359.99</v>
      </c>
      <c r="C338" s="1"/>
      <c r="D338" s="234" t="n">
        <f aca="false">DEGREES(_xlfn.ACOT( SIGN( ( COS(D$313)  *  COS($A338)))  /  SQRT(  ( TAN(D$313))^2   +  ( _xlfn.SEC(D$313)  *  TAN($A338))^2  )))</f>
        <v>0.0100498756205988</v>
      </c>
      <c r="E338" s="234" t="n">
        <f aca="false">DEGREES(_xlfn.ACOT( SIGN( ( COS(E$313)  *  COS($A338)))  /  SQRT(  ( TAN(E$313))^2   +  ( _xlfn.SEC(E$313)  *  TAN($A338))^2  )))</f>
        <v>15.0000032568284</v>
      </c>
      <c r="F338" s="234" t="n">
        <f aca="false">DEGREES(_xlfn.ACOT( SIGN( ( COS(F$313)  *  COS($A338)))  /  SQRT(  ( TAN(F$313))^2   +  ( _xlfn.SEC(F$313)  *  TAN($A338))^2  )))</f>
        <v>30.0000015114994</v>
      </c>
      <c r="G338" s="234" t="n">
        <f aca="false">DEGREES(_xlfn.ACOT( SIGN( ( COS(G$313)  *  COS($A338)))  /  SQRT(  ( TAN(G$313))^2   +  ( _xlfn.SEC(G$313)  *  TAN($A338))^2  )))</f>
        <v>45.0000008726646</v>
      </c>
      <c r="H338" s="234" t="n">
        <f aca="false">DEGREES(_xlfn.ACOT( SIGN( ( COS(H$313)  *  COS($A338)))  /  SQRT(  ( TAN(H$313))^2   +  ( _xlfn.SEC(H$313)  *  TAN($A338))^2  )))</f>
        <v>60.0000005038332</v>
      </c>
      <c r="I338" s="234" t="n">
        <f aca="false">DEGREES(_xlfn.ACOT( SIGN( ( COS(I$313)  *  COS($A338)))  /  SQRT(  ( TAN(I$313))^2   +  ( _xlfn.SEC(I$313)  *  TAN($A338))^2  )))</f>
        <v>75.0000002338298</v>
      </c>
      <c r="J338" s="234" t="n">
        <f aca="false">DEGREES(_xlfn.ACOT( SIGN( ( COS(J$313)  *  COS($A338)))  /  SQRT(  ( TAN(J$313))^2   +  ( _xlfn.SEC(J$313)  *  TAN($A338))^2  )))</f>
        <v>90</v>
      </c>
      <c r="K338" s="234" t="n">
        <f aca="false">DEGREES(_xlfn.ACOT( SIGN( ( COS(K$313)  *  COS($A338)))  /  SQRT(  ( TAN(K$313))^2   +  ( _xlfn.SEC(K$313)  *  TAN($A338))^2  )))</f>
        <v>104.99999976617</v>
      </c>
      <c r="L338" s="234" t="n">
        <f aca="false">DEGREES(_xlfn.ACOT( SIGN( ( COS(L$313)  *  COS($A338)))  /  SQRT(  ( TAN(L$313))^2   +  ( _xlfn.SEC(L$313)  *  TAN($A338))^2  )))</f>
        <v>119.999999496167</v>
      </c>
      <c r="M338" s="234" t="n">
        <f aca="false">DEGREES(_xlfn.ACOT( SIGN( ( COS(M$313)  *  COS($A338)))  /  SQRT(  ( TAN(M$313))^2   +  ( _xlfn.SEC(M$313)  *  TAN($A338))^2  )))</f>
        <v>134.999999127335</v>
      </c>
      <c r="N338" s="234" t="n">
        <f aca="false">DEGREES(_xlfn.ACOT( SIGN( ( COS(N$313)  *  COS($A338)))  /  SQRT(  ( TAN(N$313))^2   +  ( _xlfn.SEC(N$313)  *  TAN($A338))^2  )))</f>
        <v>149.999998488501</v>
      </c>
      <c r="O338" s="234" t="n">
        <f aca="false">DEGREES(_xlfn.ACOT( SIGN( ( COS(O$313)  *  COS($A338)))  /  SQRT(  ( TAN(O$313))^2   +  ( _xlfn.SEC(O$313)  *  TAN($A338))^2  )))</f>
        <v>164.999996743172</v>
      </c>
      <c r="P338" s="234" t="n">
        <f aca="false">DEGREES(_xlfn.ACOT( SIGN( ( COS(P$313)  *  COS($A338)))  /  SQRT(  ( TAN(P$313))^2   +  ( _xlfn.SEC(P$313)  *  TAN($A338))^2  )))</f>
        <v>179.99</v>
      </c>
      <c r="Q338" s="234" t="n">
        <f aca="false">DEGREES(_xlfn.ACOT( SIGN( ( COS(Q$313)  *  COS($A338)))  /  SQRT(  ( TAN(Q$313))^2   +  ( _xlfn.SEC(Q$313)  *  TAN($A338))^2  )))</f>
        <v>164.999996743172</v>
      </c>
      <c r="R338" s="234" t="n">
        <f aca="false">DEGREES(_xlfn.ACOT( SIGN( ( COS(R$313)  *  COS($A338)))  /  SQRT(  ( TAN(R$313))^2   +  ( _xlfn.SEC(R$313)  *  TAN($A338))^2  )))</f>
        <v>149.999998488501</v>
      </c>
      <c r="S338" s="234" t="n">
        <f aca="false">DEGREES(_xlfn.ACOT( SIGN( ( COS(S$313)  *  COS($A338)))  /  SQRT(  ( TAN(S$313))^2   +  ( _xlfn.SEC(S$313)  *  TAN($A338))^2  )))</f>
        <v>134.999999127335</v>
      </c>
      <c r="T338" s="234" t="n">
        <f aca="false">DEGREES(_xlfn.ACOT( SIGN( ( COS(T$313)  *  COS($A338)))  /  SQRT(  ( TAN(T$313))^2   +  ( _xlfn.SEC(T$313)  *  TAN($A338))^2  )))</f>
        <v>119.999999496167</v>
      </c>
      <c r="U338" s="234" t="n">
        <f aca="false">DEGREES(_xlfn.ACOT( SIGN( ( COS(U$313)  *  COS($A338)))  /  SQRT(  ( TAN(U$313))^2   +  ( _xlfn.SEC(U$313)  *  TAN($A338))^2  )))</f>
        <v>104.99999976617</v>
      </c>
      <c r="V338" s="234" t="n">
        <f aca="false">DEGREES(_xlfn.ACOT( SIGN( ( COS(V$313)  *  COS($A338)))  /  SQRT(  ( TAN(V$313))^2   +  ( _xlfn.SEC(V$313)  *  TAN($A338))^2  )))</f>
        <v>90</v>
      </c>
      <c r="W338" s="234" t="n">
        <f aca="false">DEGREES(_xlfn.ACOT( SIGN( ( COS(W$313)  *  COS($A338)))  /  SQRT(  ( TAN(W$313))^2   +  ( _xlfn.SEC(W$313)  *  TAN($A338))^2  )))</f>
        <v>75.0000002338298</v>
      </c>
      <c r="X338" s="234" t="n">
        <f aca="false">DEGREES(_xlfn.ACOT( SIGN( ( COS(X$313)  *  COS($A338)))  /  SQRT(  ( TAN(X$313))^2   +  ( _xlfn.SEC(X$313)  *  TAN($A338))^2  )))</f>
        <v>60.0000005038332</v>
      </c>
      <c r="Y338" s="234" t="n">
        <f aca="false">DEGREES(_xlfn.ACOT( SIGN( ( COS(Y$313)  *  COS($A338)))  /  SQRT(  ( TAN(Y$313))^2   +  ( _xlfn.SEC(Y$313)  *  TAN($A338))^2  )))</f>
        <v>45.0000008726646</v>
      </c>
      <c r="Z338" s="234" t="n">
        <f aca="false">DEGREES(_xlfn.ACOT( SIGN( ( COS(Z$313)  *  COS($A338)))  /  SQRT(  ( TAN(Z$313))^2   +  ( _xlfn.SEC(Z$313)  *  TAN($A338))^2  )))</f>
        <v>30.0000015114994</v>
      </c>
      <c r="AA338" s="234" t="n">
        <f aca="false">DEGREES(_xlfn.ACOT( SIGN( ( COS(AA$313)  *  COS($A338)))  /  SQRT(  ( TAN(AA$313))^2   +  ( _xlfn.SEC(AA$313)  *  TAN($A338))^2  )))</f>
        <v>15.0000032568284</v>
      </c>
      <c r="AB338" s="234" t="n">
        <f aca="false">DEGREES(_xlfn.ACOT( SIGN( ( COS(AB$313)  *  COS($A338)))  /  SQRT(  ( TAN(AB$313))^2   +  ( _xlfn.SEC(AB$313)  *  TAN($A338))^2  )))</f>
        <v>0.0141421355878128</v>
      </c>
      <c r="AC338" s="195" t="n">
        <f aca="false">DEGREES(_xlfn.ACOT( SIGN( ( COS(AC$313)  *  COS($A338)))  /  SQRT(  ( TAN(AC$313))^2   +  ( _xlfn.SEC(AC$313)  *  TAN($A338))^2  )))</f>
        <v>0.00999999999998665</v>
      </c>
      <c r="AD338" s="195" t="n">
        <f aca="false">DEGREES(_xlfn.ACOT( SIGN( ( COS(AD$313)  *  COS($A338)))  /  SQRT(  ( TAN(AD$313))^2   +  ( _xlfn.SEC(AD$313)  *  TAN($A338))^2  )))</f>
        <v>0.00999999999998665</v>
      </c>
      <c r="AE338" s="1"/>
      <c r="AF338" s="1"/>
      <c r="AG338" s="1"/>
      <c r="AH338" s="1"/>
      <c r="AI338" s="1"/>
      <c r="AJ338" s="1"/>
      <c r="AK338" s="1"/>
      <c r="AL338" s="1"/>
    </row>
    <row r="339" customFormat="false" ht="12.75" hidden="false" customHeight="true" outlineLevel="0" collapsed="false">
      <c r="A339" s="192" t="n">
        <f aca="false">RADIANS(MOD(B339-180,-360)+180)</f>
        <v>0</v>
      </c>
      <c r="B339" s="184" t="n">
        <v>360</v>
      </c>
      <c r="C339" s="1"/>
      <c r="D339" s="195" t="n">
        <f aca="false">DEGREES(_xlfn.ACOT( SIGN( ( COS(D$313)  *  COS($A339)))  /  SQRT(  ( TAN(D$313))^2   +  ( _xlfn.SEC(D$313)  *  TAN($A339))^2  )))</f>
        <v>0.000999999999997393</v>
      </c>
      <c r="E339" s="195" t="n">
        <f aca="false">DEGREES(_xlfn.ACOT( SIGN( ( COS(E$313)  *  COS($A339)))  /  SQRT(  ( TAN(E$313))^2   +  ( _xlfn.SEC(E$313)  *  TAN($A339))^2  )))</f>
        <v>15</v>
      </c>
      <c r="F339" s="195" t="n">
        <f aca="false">DEGREES(_xlfn.ACOT( SIGN( ( COS(F$313)  *  COS($A339)))  /  SQRT(  ( TAN(F$313))^2   +  ( _xlfn.SEC(F$313)  *  TAN($A339))^2  )))</f>
        <v>30</v>
      </c>
      <c r="G339" s="195" t="n">
        <f aca="false">DEGREES(_xlfn.ACOT( SIGN( ( COS(G$313)  *  COS($A339)))  /  SQRT(  ( TAN(G$313))^2   +  ( _xlfn.SEC(G$313)  *  TAN($A339))^2  )))</f>
        <v>45</v>
      </c>
      <c r="H339" s="195" t="n">
        <f aca="false">DEGREES(_xlfn.ACOT( SIGN( ( COS(H$313)  *  COS($A339)))  /  SQRT(  ( TAN(H$313))^2   +  ( _xlfn.SEC(H$313)  *  TAN($A339))^2  )))</f>
        <v>60</v>
      </c>
      <c r="I339" s="195" t="n">
        <f aca="false">DEGREES(_xlfn.ACOT( SIGN( ( COS(I$313)  *  COS($A339)))  /  SQRT(  ( TAN(I$313))^2   +  ( _xlfn.SEC(I$313)  *  TAN($A339))^2  )))</f>
        <v>75</v>
      </c>
      <c r="J339" s="195" t="n">
        <f aca="false">DEGREES(_xlfn.ACOT( SIGN( ( COS(J$313)  *  COS($A339)))  /  SQRT(  ( TAN(J$313))^2   +  ( _xlfn.SEC(J$313)  *  TAN($A339))^2  )))</f>
        <v>90</v>
      </c>
      <c r="K339" s="195" t="n">
        <f aca="false">DEGREES(_xlfn.ACOT( SIGN( ( COS(K$313)  *  COS($A339)))  /  SQRT(  ( TAN(K$313))^2   +  ( _xlfn.SEC(K$313)  *  TAN($A339))^2  )))</f>
        <v>105</v>
      </c>
      <c r="L339" s="195" t="n">
        <f aca="false">DEGREES(_xlfn.ACOT( SIGN( ( COS(L$313)  *  COS($A339)))  /  SQRT(  ( TAN(L$313))^2   +  ( _xlfn.SEC(L$313)  *  TAN($A339))^2  )))</f>
        <v>120</v>
      </c>
      <c r="M339" s="195" t="n">
        <f aca="false">DEGREES(_xlfn.ACOT( SIGN( ( COS(M$313)  *  COS($A339)))  /  SQRT(  ( TAN(M$313))^2   +  ( _xlfn.SEC(M$313)  *  TAN($A339))^2  )))</f>
        <v>135</v>
      </c>
      <c r="N339" s="195" t="n">
        <f aca="false">DEGREES(_xlfn.ACOT( SIGN( ( COS(N$313)  *  COS($A339)))  /  SQRT(  ( TAN(N$313))^2   +  ( _xlfn.SEC(N$313)  *  TAN($A339))^2  )))</f>
        <v>150</v>
      </c>
      <c r="O339" s="195" t="n">
        <f aca="false">DEGREES(_xlfn.ACOT( SIGN( ( COS(O$313)  *  COS($A339)))  /  SQRT(  ( TAN(O$313))^2   +  ( _xlfn.SEC(O$313)  *  TAN($A339))^2  )))</f>
        <v>165</v>
      </c>
      <c r="P339" s="195" t="n">
        <f aca="false">DEGREES(_xlfn.ACOT( SIGN( ( COS(P$313)  *  COS($A339)))  /  SQRT(  ( TAN(P$313))^2   +  ( _xlfn.SEC(P$313)  *  TAN($A339))^2  )))</f>
        <v>180</v>
      </c>
      <c r="Q339" s="195" t="n">
        <f aca="false">DEGREES(_xlfn.ACOT( SIGN( ( COS(Q$313)  *  COS($A339)))  /  SQRT(  ( TAN(Q$313))^2   +  ( _xlfn.SEC(Q$313)  *  TAN($A339))^2  )))</f>
        <v>165</v>
      </c>
      <c r="R339" s="195" t="n">
        <f aca="false">DEGREES(_xlfn.ACOT( SIGN( ( COS(R$313)  *  COS($A339)))  /  SQRT(  ( TAN(R$313))^2   +  ( _xlfn.SEC(R$313)  *  TAN($A339))^2  )))</f>
        <v>150</v>
      </c>
      <c r="S339" s="195" t="n">
        <f aca="false">DEGREES(_xlfn.ACOT( SIGN( ( COS(S$313)  *  COS($A339)))  /  SQRT(  ( TAN(S$313))^2   +  ( _xlfn.SEC(S$313)  *  TAN($A339))^2  )))</f>
        <v>135</v>
      </c>
      <c r="T339" s="195" t="n">
        <f aca="false">DEGREES(_xlfn.ACOT( SIGN( ( COS(T$313)  *  COS($A339)))  /  SQRT(  ( TAN(T$313))^2   +  ( _xlfn.SEC(T$313)  *  TAN($A339))^2  )))</f>
        <v>120</v>
      </c>
      <c r="U339" s="195" t="n">
        <f aca="false">DEGREES(_xlfn.ACOT( SIGN( ( COS(U$313)  *  COS($A339)))  /  SQRT(  ( TAN(U$313))^2   +  ( _xlfn.SEC(U$313)  *  TAN($A339))^2  )))</f>
        <v>105</v>
      </c>
      <c r="V339" s="195" t="n">
        <f aca="false">DEGREES(_xlfn.ACOT( SIGN( ( COS(V$313)  *  COS($A339)))  /  SQRT(  ( TAN(V$313))^2   +  ( _xlfn.SEC(V$313)  *  TAN($A339))^2  )))</f>
        <v>90</v>
      </c>
      <c r="W339" s="195" t="n">
        <f aca="false">DEGREES(_xlfn.ACOT( SIGN( ( COS(W$313)  *  COS($A339)))  /  SQRT(  ( TAN(W$313))^2   +  ( _xlfn.SEC(W$313)  *  TAN($A339))^2  )))</f>
        <v>75</v>
      </c>
      <c r="X339" s="195" t="n">
        <f aca="false">DEGREES(_xlfn.ACOT( SIGN( ( COS(X$313)  *  COS($A339)))  /  SQRT(  ( TAN(X$313))^2   +  ( _xlfn.SEC(X$313)  *  TAN($A339))^2  )))</f>
        <v>60</v>
      </c>
      <c r="Y339" s="195" t="n">
        <f aca="false">DEGREES(_xlfn.ACOT( SIGN( ( COS(Y$313)  *  COS($A339)))  /  SQRT(  ( TAN(Y$313))^2   +  ( _xlfn.SEC(Y$313)  *  TAN($A339))^2  )))</f>
        <v>45</v>
      </c>
      <c r="Z339" s="195" t="n">
        <f aca="false">DEGREES(_xlfn.ACOT( SIGN( ( COS(Z$313)  *  COS($A339)))  /  SQRT(  ( TAN(Z$313))^2   +  ( _xlfn.SEC(Z$313)  *  TAN($A339))^2  )))</f>
        <v>30</v>
      </c>
      <c r="AA339" s="195" t="n">
        <f aca="false">DEGREES(_xlfn.ACOT( SIGN( ( COS(AA$313)  *  COS($A339)))  /  SQRT(  ( TAN(AA$313))^2   +  ( _xlfn.SEC(AA$313)  *  TAN($A339))^2  )))</f>
        <v>15</v>
      </c>
      <c r="AB339" s="195" t="n">
        <f aca="false">DEGREES(_xlfn.ACOT( SIGN( ( COS(AB$313)  *  COS($A339)))  /  SQRT(  ( TAN(AB$313))^2   +  ( _xlfn.SEC(AB$313)  *  TAN($A339))^2  )))</f>
        <v>0.00999999999998665</v>
      </c>
      <c r="AC339" s="195" t="e">
        <f aca="false">DEGREES(_xlfn.ACOT( SIGN( ( COS(AC$313)  *  COS($A339)))  /  SQRT(  ( TAN(AC$313))^2   +  ( _xlfn.SEC(AC$313)  *  TAN($A339))^2  )))</f>
        <v>#DIV/0!</v>
      </c>
      <c r="AD339" s="195" t="e">
        <f aca="false">DEGREES(_xlfn.ACOT( SIGN( ( COS(AD$313)  *  COS($A339)))  /  SQRT(  ( TAN(AD$313))^2   +  ( _xlfn.SEC(AD$313)  *  TAN($A339))^2  )))</f>
        <v>#DIV/0!</v>
      </c>
      <c r="AE339" s="1"/>
      <c r="AF339" s="1"/>
      <c r="AG339" s="1"/>
      <c r="AH339" s="1"/>
      <c r="AI339" s="1"/>
      <c r="AJ339" s="1"/>
      <c r="AK339" s="1"/>
      <c r="AL339" s="1"/>
    </row>
    <row r="340" customFormat="false" ht="12.75" hidden="false" customHeight="true" outlineLevel="0" collapsed="false">
      <c r="A340" s="192" t="n">
        <f aca="false">RADIANS(MOD(B340-180,-360)+180)</f>
        <v>0</v>
      </c>
      <c r="B340" s="184" t="n">
        <v>0</v>
      </c>
      <c r="C340" s="1"/>
      <c r="D340" s="195" t="n">
        <f aca="false">DEGREES(_xlfn.ACOT( SIGN( ( COS(D$313)  *  COS($A340)))  /  SQRT(  ( TAN(D$313))^2   +  ( _xlfn.SEC(D$313)  *  TAN($A340))^2  )))</f>
        <v>0.000999999999997393</v>
      </c>
      <c r="E340" s="195" t="n">
        <f aca="false">DEGREES(_xlfn.ACOT( SIGN( ( COS(E$313)  *  COS($A340)))  /  SQRT(  ( TAN(E$313))^2   +  ( _xlfn.SEC(E$313)  *  TAN($A340))^2  )))</f>
        <v>15</v>
      </c>
      <c r="F340" s="195" t="n">
        <f aca="false">DEGREES(_xlfn.ACOT( SIGN( ( COS(F$313)  *  COS($A340)))  /  SQRT(  ( TAN(F$313))^2   +  ( _xlfn.SEC(F$313)  *  TAN($A340))^2  )))</f>
        <v>30</v>
      </c>
      <c r="G340" s="195" t="n">
        <f aca="false">DEGREES(_xlfn.ACOT( SIGN( ( COS(G$313)  *  COS($A340)))  /  SQRT(  ( TAN(G$313))^2   +  ( _xlfn.SEC(G$313)  *  TAN($A340))^2  )))</f>
        <v>45</v>
      </c>
      <c r="H340" s="195" t="n">
        <f aca="false">DEGREES(_xlfn.ACOT( SIGN( ( COS(H$313)  *  COS($A340)))  /  SQRT(  ( TAN(H$313))^2   +  ( _xlfn.SEC(H$313)  *  TAN($A340))^2  )))</f>
        <v>60</v>
      </c>
      <c r="I340" s="195" t="n">
        <f aca="false">DEGREES(_xlfn.ACOT( SIGN( ( COS(I$313)  *  COS($A340)))  /  SQRT(  ( TAN(I$313))^2   +  ( _xlfn.SEC(I$313)  *  TAN($A340))^2  )))</f>
        <v>75</v>
      </c>
      <c r="J340" s="195" t="n">
        <f aca="false">DEGREES(_xlfn.ACOT( SIGN( ( COS(J$313)  *  COS($A340)))  /  SQRT(  ( TAN(J$313))^2   +  ( _xlfn.SEC(J$313)  *  TAN($A340))^2  )))</f>
        <v>90</v>
      </c>
      <c r="K340" s="195" t="n">
        <f aca="false">DEGREES(_xlfn.ACOT( SIGN( ( COS(K$313)  *  COS($A340)))  /  SQRT(  ( TAN(K$313))^2   +  ( _xlfn.SEC(K$313)  *  TAN($A340))^2  )))</f>
        <v>105</v>
      </c>
      <c r="L340" s="195" t="n">
        <f aca="false">DEGREES(_xlfn.ACOT( SIGN( ( COS(L$313)  *  COS($A340)))  /  SQRT(  ( TAN(L$313))^2   +  ( _xlfn.SEC(L$313)  *  TAN($A340))^2  )))</f>
        <v>120</v>
      </c>
      <c r="M340" s="195" t="n">
        <f aca="false">DEGREES(_xlfn.ACOT( SIGN( ( COS(M$313)  *  COS($A340)))  /  SQRT(  ( TAN(M$313))^2   +  ( _xlfn.SEC(M$313)  *  TAN($A340))^2  )))</f>
        <v>135</v>
      </c>
      <c r="N340" s="195" t="n">
        <f aca="false">DEGREES(_xlfn.ACOT( SIGN( ( COS(N$313)  *  COS($A340)))  /  SQRT(  ( TAN(N$313))^2   +  ( _xlfn.SEC(N$313)  *  TAN($A340))^2  )))</f>
        <v>150</v>
      </c>
      <c r="O340" s="195" t="n">
        <f aca="false">DEGREES(_xlfn.ACOT( SIGN( ( COS(O$313)  *  COS($A340)))  /  SQRT(  ( TAN(O$313))^2   +  ( _xlfn.SEC(O$313)  *  TAN($A340))^2  )))</f>
        <v>165</v>
      </c>
      <c r="P340" s="195" t="n">
        <f aca="false">DEGREES(_xlfn.ACOT( SIGN( ( COS(P$313)  *  COS($A340)))  /  SQRT(  ( TAN(P$313))^2   +  ( _xlfn.SEC(P$313)  *  TAN($A340))^2  )))</f>
        <v>180</v>
      </c>
      <c r="Q340" s="195" t="n">
        <f aca="false">DEGREES(_xlfn.ACOT( SIGN( ( COS(Q$313)  *  COS($A340)))  /  SQRT(  ( TAN(Q$313))^2   +  ( _xlfn.SEC(Q$313)  *  TAN($A340))^2  )))</f>
        <v>165</v>
      </c>
      <c r="R340" s="195" t="n">
        <f aca="false">DEGREES(_xlfn.ACOT( SIGN( ( COS(R$313)  *  COS($A340)))  /  SQRT(  ( TAN(R$313))^2   +  ( _xlfn.SEC(R$313)  *  TAN($A340))^2  )))</f>
        <v>150</v>
      </c>
      <c r="S340" s="195" t="n">
        <f aca="false">DEGREES(_xlfn.ACOT( SIGN( ( COS(S$313)  *  COS($A340)))  /  SQRT(  ( TAN(S$313))^2   +  ( _xlfn.SEC(S$313)  *  TAN($A340))^2  )))</f>
        <v>135</v>
      </c>
      <c r="T340" s="195" t="n">
        <f aca="false">DEGREES(_xlfn.ACOT( SIGN( ( COS(T$313)  *  COS($A340)))  /  SQRT(  ( TAN(T$313))^2   +  ( _xlfn.SEC(T$313)  *  TAN($A340))^2  )))</f>
        <v>120</v>
      </c>
      <c r="U340" s="195" t="n">
        <f aca="false">DEGREES(_xlfn.ACOT( SIGN( ( COS(U$313)  *  COS($A340)))  /  SQRT(  ( TAN(U$313))^2   +  ( _xlfn.SEC(U$313)  *  TAN($A340))^2  )))</f>
        <v>105</v>
      </c>
      <c r="V340" s="195" t="n">
        <f aca="false">DEGREES(_xlfn.ACOT( SIGN( ( COS(V$313)  *  COS($A340)))  /  SQRT(  ( TAN(V$313))^2   +  ( _xlfn.SEC(V$313)  *  TAN($A340))^2  )))</f>
        <v>90</v>
      </c>
      <c r="W340" s="195" t="n">
        <f aca="false">DEGREES(_xlfn.ACOT( SIGN( ( COS(W$313)  *  COS($A340)))  /  SQRT(  ( TAN(W$313))^2   +  ( _xlfn.SEC(W$313)  *  TAN($A340))^2  )))</f>
        <v>75</v>
      </c>
      <c r="X340" s="195" t="n">
        <f aca="false">DEGREES(_xlfn.ACOT( SIGN( ( COS(X$313)  *  COS($A340)))  /  SQRT(  ( TAN(X$313))^2   +  ( _xlfn.SEC(X$313)  *  TAN($A340))^2  )))</f>
        <v>60</v>
      </c>
      <c r="Y340" s="195" t="n">
        <f aca="false">DEGREES(_xlfn.ACOT( SIGN( ( COS(Y$313)  *  COS($A340)))  /  SQRT(  ( TAN(Y$313))^2   +  ( _xlfn.SEC(Y$313)  *  TAN($A340))^2  )))</f>
        <v>45</v>
      </c>
      <c r="Z340" s="195" t="n">
        <f aca="false">DEGREES(_xlfn.ACOT( SIGN( ( COS(Z$313)  *  COS($A340)))  /  SQRT(  ( TAN(Z$313))^2   +  ( _xlfn.SEC(Z$313)  *  TAN($A340))^2  )))</f>
        <v>30</v>
      </c>
      <c r="AA340" s="195" t="n">
        <f aca="false">DEGREES(_xlfn.ACOT( SIGN( ( COS(AA$313)  *  COS($A340)))  /  SQRT(  ( TAN(AA$313))^2   +  ( _xlfn.SEC(AA$313)  *  TAN($A340))^2  )))</f>
        <v>15</v>
      </c>
      <c r="AB340" s="195" t="n">
        <f aca="false">DEGREES(_xlfn.ACOT( SIGN( ( COS(AB$313)  *  COS($A340)))  /  SQRT(  ( TAN(AB$313))^2   +  ( _xlfn.SEC(AB$313)  *  TAN($A340))^2  )))</f>
        <v>0.00999999999998665</v>
      </c>
      <c r="AC340" s="195" t="e">
        <f aca="false">DEGREES(_xlfn.ACOT( SIGN( ( COS(AC$313)  *  COS($A340)))  /  SQRT(  ( TAN(AC$313))^2   +  ( _xlfn.SEC(AC$313)  *  TAN($A340))^2  )))</f>
        <v>#DIV/0!</v>
      </c>
      <c r="AD340" s="195" t="e">
        <f aca="false">DEGREES(_xlfn.ACOT( SIGN( ( COS(AD$313)  *  COS($A340)))  /  SQRT(  ( TAN(AD$313))^2   +  ( _xlfn.SEC(AD$313)  *  TAN($A340))^2  )))</f>
        <v>#DIV/0!</v>
      </c>
      <c r="AE340" s="1"/>
      <c r="AF340" s="1"/>
      <c r="AG340" s="1"/>
      <c r="AH340" s="1"/>
      <c r="AI340" s="1"/>
      <c r="AJ340" s="1"/>
      <c r="AK340" s="1"/>
      <c r="AL340" s="1"/>
    </row>
    <row r="341" customFormat="false" ht="12.75" hidden="false" customHeight="true" outlineLevel="0" collapsed="false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customFormat="false" ht="12.75" hidden="false" customHeight="true" outlineLevel="0" collapsed="false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customFormat="false" ht="12.75" hidden="false" customHeight="true" outlineLevel="0" collapsed="false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customFormat="false" ht="12.75" hidden="false" customHeight="true" outlineLevel="0" collapsed="false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customFormat="false" ht="12.75" hidden="false" customHeight="true" outlineLevel="0" collapsed="false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customFormat="false" ht="12.75" hidden="false" customHeight="true" outlineLevel="0" collapsed="false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customFormat="false" ht="12.75" hidden="false" customHeight="true" outlineLevel="0" collapsed="false">
      <c r="A347" s="1"/>
      <c r="B347" s="1"/>
      <c r="C347" s="1"/>
      <c r="D347" s="1"/>
      <c r="E347" s="1"/>
      <c r="F347" s="1"/>
      <c r="G347" s="1"/>
      <c r="H347" s="117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customFormat="false" ht="12.75" hidden="false" customHeight="true" outlineLevel="0" collapsed="false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customFormat="false" ht="12.75" hidden="false" customHeight="true" outlineLevel="0" collapsed="false">
      <c r="A349" s="1"/>
      <c r="B349" s="1"/>
      <c r="C349" s="1"/>
      <c r="D349" s="1"/>
      <c r="E349" s="1"/>
      <c r="F349" s="1"/>
      <c r="G349" s="224"/>
      <c r="H349" s="1"/>
      <c r="I349" s="11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customFormat="false" ht="12.75" hidden="false" customHeight="true" outlineLevel="0" collapsed="false">
      <c r="A350" s="1"/>
      <c r="B350" s="1"/>
      <c r="C350" s="1"/>
      <c r="D350" s="1"/>
      <c r="E350" s="1"/>
      <c r="F350" s="1"/>
      <c r="G350" s="224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customFormat="false" ht="12.75" hidden="false" customHeight="true" outlineLevel="0" collapsed="false">
      <c r="A351" s="1"/>
      <c r="B351" s="163"/>
      <c r="C351" s="1"/>
      <c r="D351" s="1"/>
      <c r="E351" s="1"/>
      <c r="F351" s="1"/>
      <c r="G351" s="1"/>
      <c r="H351" s="53"/>
      <c r="I351" s="53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customFormat="false" ht="12.75" hidden="false" customHeight="true" outlineLevel="0" collapsed="false">
      <c r="A352" s="163"/>
      <c r="B352" s="1"/>
      <c r="C352" s="1"/>
      <c r="D352" s="1"/>
      <c r="E352" s="1"/>
      <c r="F352" s="1"/>
      <c r="G352" s="1"/>
      <c r="H352" s="1"/>
      <c r="I352" s="53"/>
      <c r="J352" s="1"/>
      <c r="K352" s="1"/>
      <c r="L352" s="1"/>
      <c r="M352" s="1"/>
      <c r="N352" s="53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customFormat="false" ht="12.75" hidden="false" customHeight="true" outlineLevel="0" collapsed="false">
      <c r="A353" s="1"/>
      <c r="B353" s="1"/>
      <c r="C353" s="1"/>
      <c r="D353" s="1"/>
      <c r="E353" s="1"/>
      <c r="F353" s="1"/>
      <c r="G353" s="164"/>
      <c r="H353" s="1"/>
      <c r="I353" s="53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customFormat="false" ht="23.8" hidden="false" customHeight="true" outlineLevel="0" collapsed="false">
      <c r="A354" s="1"/>
      <c r="B354" s="1"/>
      <c r="C354" s="235" t="s">
        <v>250</v>
      </c>
      <c r="D354" s="236"/>
      <c r="E354" s="169"/>
      <c r="F354" s="1"/>
      <c r="G354" s="1"/>
      <c r="H354" s="1"/>
      <c r="I354" s="53"/>
      <c r="J354" s="117"/>
      <c r="K354" s="16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customFormat="false" ht="23.8" hidden="false" customHeight="true" outlineLevel="0" collapsed="false">
      <c r="A355" s="1"/>
      <c r="B355" s="1"/>
      <c r="C355" s="170"/>
      <c r="D355" s="170"/>
      <c r="E355" s="170"/>
      <c r="F355" s="171"/>
      <c r="G355" s="171"/>
      <c r="H355" s="171"/>
      <c r="I355" s="171"/>
      <c r="J355" s="171"/>
      <c r="K355" s="171"/>
      <c r="L355" s="170"/>
      <c r="M355" s="1"/>
      <c r="N355" s="1"/>
      <c r="O355" s="1"/>
      <c r="P355" s="1"/>
      <c r="Q355" s="166" t="s">
        <v>251</v>
      </c>
      <c r="R355" s="167"/>
      <c r="S355" s="169"/>
      <c r="T355" s="237" t="s">
        <v>252</v>
      </c>
      <c r="U355" s="1"/>
      <c r="V355" s="1"/>
      <c r="W355" s="1"/>
      <c r="X355" s="1"/>
      <c r="Y355" s="1"/>
      <c r="Z355" s="201" t="s">
        <v>165</v>
      </c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customFormat="false" ht="23.8" hidden="false" customHeight="true" outlineLevel="0" collapsed="false">
      <c r="A356" s="172" t="s">
        <v>163</v>
      </c>
      <c r="B356" s="1"/>
      <c r="C356" s="173"/>
      <c r="D356" s="170"/>
      <c r="E356" s="174" t="s">
        <v>164</v>
      </c>
      <c r="F356" s="171"/>
      <c r="G356" s="171"/>
      <c r="H356" s="175" t="s">
        <v>119</v>
      </c>
      <c r="I356" s="171"/>
      <c r="J356" s="171"/>
      <c r="K356" s="170"/>
      <c r="L356" s="170"/>
      <c r="M356" s="1"/>
      <c r="N356" s="1"/>
      <c r="O356" s="1"/>
      <c r="P356" s="1"/>
      <c r="Q356" s="238" t="s">
        <v>165</v>
      </c>
      <c r="R356" s="170"/>
      <c r="S356" s="239"/>
      <c r="T356" s="170"/>
      <c r="U356" s="170"/>
      <c r="V356" s="1"/>
      <c r="W356" s="1"/>
      <c r="X356" s="1"/>
      <c r="Y356" s="1"/>
      <c r="Z356" s="1"/>
      <c r="AA356" s="1"/>
      <c r="AB356" s="1"/>
      <c r="AC356" s="1"/>
      <c r="AD356" s="1"/>
      <c r="AE356" s="240" t="s">
        <v>165</v>
      </c>
      <c r="AF356" s="170"/>
      <c r="AG356" s="241"/>
      <c r="AH356" s="241" t="s">
        <v>253</v>
      </c>
      <c r="AI356" s="170"/>
      <c r="AJ356" s="170"/>
      <c r="AK356" s="170"/>
      <c r="AL356" s="170"/>
    </row>
    <row r="357" customFormat="false" ht="23.8" hidden="false" customHeight="true" outlineLevel="0" collapsed="false">
      <c r="A357" s="172" t="s">
        <v>166</v>
      </c>
      <c r="B357" s="1"/>
      <c r="C357" s="173"/>
      <c r="D357" s="173"/>
      <c r="E357" s="173"/>
      <c r="F357" s="176" t="s">
        <v>254</v>
      </c>
      <c r="G357" s="170"/>
      <c r="H357" s="170"/>
      <c r="I357" s="170"/>
      <c r="J357" s="170"/>
      <c r="K357" s="170"/>
      <c r="L357" s="170"/>
      <c r="M357" s="1"/>
      <c r="N357" s="1"/>
      <c r="O357" s="1"/>
      <c r="P357" s="1"/>
      <c r="Q357" s="242"/>
      <c r="R357" s="243" t="s">
        <v>255</v>
      </c>
      <c r="S357" s="170"/>
      <c r="T357" s="170"/>
      <c r="U357" s="170"/>
      <c r="V357" s="1"/>
      <c r="W357" s="1"/>
      <c r="X357" s="1"/>
      <c r="Y357" s="1"/>
      <c r="Z357" s="1"/>
      <c r="AA357" s="1"/>
      <c r="AB357" s="1"/>
      <c r="AC357" s="1"/>
      <c r="AD357" s="1"/>
      <c r="AE357" s="244" t="s">
        <v>256</v>
      </c>
      <c r="AF357" s="244"/>
      <c r="AG357" s="170"/>
      <c r="AH357" s="170"/>
      <c r="AI357" s="170"/>
      <c r="AJ357" s="170"/>
      <c r="AK357" s="170"/>
      <c r="AL357" s="170"/>
    </row>
    <row r="358" customFormat="false" ht="23.8" hidden="false" customHeight="true" outlineLevel="0" collapsed="false">
      <c r="A358" s="1"/>
      <c r="B358" s="1"/>
      <c r="C358" s="170"/>
      <c r="D358" s="173"/>
      <c r="E358" s="173"/>
      <c r="F358" s="177" t="s">
        <v>257</v>
      </c>
      <c r="G358" s="170"/>
      <c r="H358" s="170"/>
      <c r="I358" s="170"/>
      <c r="J358" s="170"/>
      <c r="K358" s="170"/>
      <c r="L358" s="170"/>
      <c r="M358" s="1"/>
      <c r="N358" s="232"/>
      <c r="O358" s="1"/>
      <c r="P358" s="1"/>
      <c r="Q358" s="170"/>
      <c r="R358" s="170"/>
      <c r="S358" s="170"/>
      <c r="T358" s="170"/>
      <c r="U358" s="170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245" t="s">
        <v>258</v>
      </c>
      <c r="AG358" s="1"/>
      <c r="AH358" s="246"/>
      <c r="AI358" s="1"/>
      <c r="AJ358" s="1"/>
      <c r="AK358" s="1"/>
      <c r="AL358" s="1"/>
    </row>
    <row r="359" customFormat="false" ht="23.8" hidden="false" customHeight="true" outlineLevel="0" collapsed="false">
      <c r="A359" s="1"/>
      <c r="B359" s="1"/>
      <c r="C359" s="170"/>
      <c r="D359" s="170"/>
      <c r="E359" s="170"/>
      <c r="F359" s="170"/>
      <c r="G359" s="170"/>
      <c r="H359" s="170"/>
      <c r="I359" s="170"/>
      <c r="J359" s="170"/>
      <c r="K359" s="170"/>
      <c r="L359" s="170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customFormat="false" ht="23.8" hidden="false" customHeight="true" outlineLevel="0" collapsed="false">
      <c r="A360" s="1"/>
      <c r="B360" s="1"/>
      <c r="C360" s="170"/>
      <c r="D360" s="173"/>
      <c r="E360" s="170"/>
      <c r="F360" s="170"/>
      <c r="G360" s="170"/>
      <c r="H360" s="170"/>
      <c r="I360" s="170"/>
      <c r="J360" s="170"/>
      <c r="K360" s="247"/>
      <c r="L360" s="170"/>
      <c r="M360" s="1"/>
      <c r="N360" s="18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customFormat="false" ht="19.3" hidden="false" customHeight="true" outlineLevel="0" collapsed="false">
      <c r="A361" s="1"/>
      <c r="B361" s="1"/>
      <c r="C361" s="1"/>
      <c r="D361" s="1"/>
      <c r="E361" s="131"/>
      <c r="F361" s="131"/>
      <c r="G361" s="131"/>
      <c r="H361" s="131"/>
      <c r="I361" s="1"/>
      <c r="J361" s="1"/>
      <c r="K361" s="1"/>
      <c r="L361" s="1"/>
      <c r="M361" s="1"/>
      <c r="N361" s="1"/>
      <c r="O361" s="1"/>
      <c r="P361" s="1"/>
      <c r="Q361" s="182" t="n">
        <v>195</v>
      </c>
      <c r="R361" s="182" t="n">
        <v>210</v>
      </c>
      <c r="S361" s="182" t="n">
        <v>225</v>
      </c>
      <c r="T361" s="182" t="n">
        <v>240</v>
      </c>
      <c r="U361" s="182" t="n">
        <v>255</v>
      </c>
      <c r="V361" s="182" t="n">
        <v>270</v>
      </c>
      <c r="W361" s="182" t="n">
        <v>285</v>
      </c>
      <c r="X361" s="182" t="n">
        <v>300</v>
      </c>
      <c r="Y361" s="182" t="n">
        <v>315</v>
      </c>
      <c r="Z361" s="182" t="n">
        <v>330</v>
      </c>
      <c r="AA361" s="182" t="n">
        <v>345</v>
      </c>
      <c r="AB361" s="183" t="n">
        <v>359.99</v>
      </c>
      <c r="AC361" s="184" t="n">
        <v>360</v>
      </c>
      <c r="AD361" s="185" t="s">
        <v>169</v>
      </c>
      <c r="AE361" s="1"/>
      <c r="AF361" s="1"/>
      <c r="AG361" s="1"/>
      <c r="AH361" s="1"/>
      <c r="AI361" s="1"/>
      <c r="AJ361" s="1"/>
      <c r="AK361" s="1"/>
      <c r="AL361" s="1"/>
    </row>
    <row r="362" customFormat="false" ht="19.3" hidden="false" customHeight="true" outlineLevel="0" collapsed="false">
      <c r="A362" s="1"/>
      <c r="B362" s="186"/>
      <c r="C362" s="187" t="s">
        <v>171</v>
      </c>
      <c r="D362" s="188" t="n">
        <v>0.001</v>
      </c>
      <c r="E362" s="182" t="n">
        <v>15</v>
      </c>
      <c r="F362" s="182" t="n">
        <v>30</v>
      </c>
      <c r="G362" s="182" t="n">
        <v>45</v>
      </c>
      <c r="H362" s="182" t="n">
        <v>60</v>
      </c>
      <c r="I362" s="182" t="n">
        <v>75</v>
      </c>
      <c r="J362" s="182" t="n">
        <v>90</v>
      </c>
      <c r="K362" s="182" t="n">
        <v>105</v>
      </c>
      <c r="L362" s="182" t="n">
        <v>120</v>
      </c>
      <c r="M362" s="182" t="n">
        <v>135</v>
      </c>
      <c r="N362" s="182" t="n">
        <v>150</v>
      </c>
      <c r="O362" s="182" t="n">
        <v>165</v>
      </c>
      <c r="P362" s="182" t="n">
        <v>180</v>
      </c>
      <c r="Q362" s="189" t="n">
        <v>-165</v>
      </c>
      <c r="R362" s="189" t="n">
        <v>-150</v>
      </c>
      <c r="S362" s="189" t="n">
        <v>-135</v>
      </c>
      <c r="T362" s="189" t="n">
        <v>-120</v>
      </c>
      <c r="U362" s="189" t="n">
        <v>-105</v>
      </c>
      <c r="V362" s="189" t="n">
        <v>-90</v>
      </c>
      <c r="W362" s="189" t="n">
        <v>-75</v>
      </c>
      <c r="X362" s="189" t="n">
        <v>-60</v>
      </c>
      <c r="Y362" s="189" t="n">
        <v>-45</v>
      </c>
      <c r="Z362" s="189" t="n">
        <v>-30</v>
      </c>
      <c r="AA362" s="189" t="n">
        <v>-15</v>
      </c>
      <c r="AB362" s="183" t="n">
        <v>-0.01</v>
      </c>
      <c r="AC362" s="184" t="n">
        <v>0</v>
      </c>
      <c r="AD362" s="184" t="n">
        <v>0</v>
      </c>
      <c r="AE362" s="1"/>
      <c r="AF362" s="1"/>
      <c r="AG362" s="1"/>
      <c r="AH362" s="1"/>
      <c r="AI362" s="1"/>
      <c r="AJ362" s="1"/>
      <c r="AK362" s="1"/>
      <c r="AL362" s="1"/>
    </row>
    <row r="363" customFormat="false" ht="19.3" hidden="false" customHeight="true" outlineLevel="0" collapsed="false">
      <c r="A363" s="190"/>
      <c r="B363" s="191" t="s">
        <v>173</v>
      </c>
      <c r="C363" s="1"/>
      <c r="D363" s="192" t="n">
        <f aca="false">RADIANS(MOD(D362-180,-360)+180)</f>
        <v>1.74532925200266E-005</v>
      </c>
      <c r="E363" s="192" t="n">
        <f aca="false">RADIANS(MOD(E362-180,-360)+180)</f>
        <v>0.261799387799149</v>
      </c>
      <c r="F363" s="192" t="n">
        <f aca="false">RADIANS(MOD(F362-180,-360)+180)</f>
        <v>0.523598775598299</v>
      </c>
      <c r="G363" s="192" t="n">
        <f aca="false">RADIANS(MOD(G362-180,-360)+180)</f>
        <v>0.785398163397448</v>
      </c>
      <c r="H363" s="192" t="n">
        <f aca="false">RADIANS(MOD(H362-180,-360)+180)</f>
        <v>1.0471975511966</v>
      </c>
      <c r="I363" s="192" t="n">
        <f aca="false">RADIANS(MOD(I362-180,-360)+180)</f>
        <v>1.30899693899575</v>
      </c>
      <c r="J363" s="192" t="n">
        <f aca="false">RADIANS(MOD(J362-180,-360)+180)</f>
        <v>1.5707963267949</v>
      </c>
      <c r="K363" s="192" t="n">
        <f aca="false">RADIANS(MOD(K362-180,-360)+180)</f>
        <v>1.83259571459405</v>
      </c>
      <c r="L363" s="192" t="n">
        <f aca="false">RADIANS(MOD(L362-180,-360)+180)</f>
        <v>2.0943951023932</v>
      </c>
      <c r="M363" s="192" t="n">
        <f aca="false">RADIANS(MOD(M362-180,-360)+180)</f>
        <v>2.35619449019234</v>
      </c>
      <c r="N363" s="192" t="n">
        <f aca="false">RADIANS(MOD(N362-180,-360)+180)</f>
        <v>2.61799387799149</v>
      </c>
      <c r="O363" s="192" t="n">
        <f aca="false">RADIANS(MOD(O362-180,-360)+180)</f>
        <v>2.87979326579064</v>
      </c>
      <c r="P363" s="192" t="n">
        <f aca="false">RADIANS(MOD(P362-180,-360)+180)</f>
        <v>3.14159265358979</v>
      </c>
      <c r="Q363" s="193" t="n">
        <f aca="false">RADIANS(MOD(Q362-180,-360)+180)</f>
        <v>-2.87979326579064</v>
      </c>
      <c r="R363" s="193" t="n">
        <f aca="false">RADIANS(MOD(R362-180,-360)+180)</f>
        <v>-2.61799387799149</v>
      </c>
      <c r="S363" s="193" t="n">
        <f aca="false">RADIANS(MOD(S362-180,-360)+180)</f>
        <v>-2.35619449019234</v>
      </c>
      <c r="T363" s="193" t="n">
        <f aca="false">RADIANS(MOD(T362-180,-360)+180)</f>
        <v>-2.0943951023932</v>
      </c>
      <c r="U363" s="193" t="n">
        <f aca="false">RADIANS(MOD(U362-180,-360)+180)</f>
        <v>-1.83259571459405</v>
      </c>
      <c r="V363" s="193" t="n">
        <f aca="false">RADIANS(MOD(V362-180,-360)+180)</f>
        <v>-1.5707963267949</v>
      </c>
      <c r="W363" s="193" t="n">
        <f aca="false">RADIANS(MOD(W362-180,-360)+180)</f>
        <v>-1.30899693899575</v>
      </c>
      <c r="X363" s="193" t="n">
        <f aca="false">RADIANS(MOD(X362-180,-360)+180)</f>
        <v>-1.0471975511966</v>
      </c>
      <c r="Y363" s="193" t="n">
        <f aca="false">RADIANS(MOD(Y362-180,-360)+180)</f>
        <v>-0.785398163397448</v>
      </c>
      <c r="Z363" s="193" t="n">
        <f aca="false">RADIANS(MOD(Z362-180,-360)+180)</f>
        <v>-0.523598775598299</v>
      </c>
      <c r="AA363" s="193" t="n">
        <f aca="false">RADIANS(MOD(AA362-180,-360)+180)</f>
        <v>-0.261799387799149</v>
      </c>
      <c r="AB363" s="193" t="n">
        <f aca="false">RADIANS(MOD(AB362-180,-360)+180)</f>
        <v>-0.000174532925199274</v>
      </c>
      <c r="AC363" s="193" t="n">
        <f aca="false">RADIANS(MOD(AC362-180,-360)+180)</f>
        <v>0</v>
      </c>
      <c r="AD363" s="193" t="n">
        <f aca="false">RADIANS(MOD(AD362-180,-360)+180)</f>
        <v>0</v>
      </c>
      <c r="AE363" s="1"/>
      <c r="AF363" s="1"/>
      <c r="AG363" s="1"/>
      <c r="AH363" s="1"/>
      <c r="AI363" s="1"/>
      <c r="AJ363" s="1"/>
      <c r="AK363" s="1"/>
      <c r="AL363" s="1"/>
    </row>
    <row r="364" customFormat="false" ht="12.75" hidden="false" customHeight="true" outlineLevel="0" collapsed="false">
      <c r="A364" s="192" t="n">
        <f aca="false">RADIANS(MOD(B364-180,-360)+180)</f>
        <v>1.74532925200266E-005</v>
      </c>
      <c r="B364" s="188" t="n">
        <v>0.001</v>
      </c>
      <c r="C364" s="1"/>
      <c r="D364" s="248" t="n">
        <f aca="false">DEGREES( ATAN(  SQRT(  ( TAN(D$363))^2  +  ( _xlfn.SEC(D$363) * TAN($A364))^2  )))</f>
        <v>0.00141421356234395</v>
      </c>
      <c r="E364" s="248" t="n">
        <f aca="false">DEGREES( ATAN(  SQRT(  ( TAN(E$363))^2  +  ( _xlfn.SEC(E$363) * TAN($A364))^2  )))</f>
        <v>15.0000000325683</v>
      </c>
      <c r="F364" s="248" t="n">
        <f aca="false">DEGREES( ATAN(  SQRT(  ( TAN(F$363))^2  +  ( _xlfn.SEC(F$363) * TAN($A364))^2  )))</f>
        <v>30.000000015115</v>
      </c>
      <c r="G364" s="248" t="n">
        <f aca="false">DEGREES( ATAN(  SQRT(  ( TAN(G$363))^2  +  ( _xlfn.SEC(G$363) * TAN($A364))^2  )))</f>
        <v>45.0000000087266</v>
      </c>
      <c r="H364" s="248" t="n">
        <f aca="false">DEGREES( ATAN(  SQRT(  ( TAN(H$363))^2  +  ( _xlfn.SEC(H$363) * TAN($A364))^2  )))</f>
        <v>60.0000000050383</v>
      </c>
      <c r="I364" s="248" t="n">
        <f aca="false">DEGREES( ATAN(  SQRT(  ( TAN(I$363))^2  +  ( _xlfn.SEC(I$363) * TAN($A364))^2  )))</f>
        <v>75.0000000023383</v>
      </c>
      <c r="J364" s="248" t="n">
        <f aca="false">DEGREES( ATAN(  SQRT(  ( TAN(J$363))^2  +  ( _xlfn.SEC(J$363) * TAN($A364))^2  )))</f>
        <v>90</v>
      </c>
      <c r="K364" s="248" t="n">
        <f aca="false">ABS(90-90*SIGN(COS(K$363)*COS($A364))      -   DEGREES( ATAN(  SQRT(  ( TAN(K$363))^2  +  ( _xlfn.SEC(K$363) * TAN($A364))^2  ))))</f>
        <v>104.999999997662</v>
      </c>
      <c r="L364" s="248" t="n">
        <f aca="false">ABS(90-90*SIGN(COS(L$363)*COS($A364))      -   DEGREES( ATAN(  SQRT(  ( TAN(L$363))^2  +  ( _xlfn.SEC(L$363) * TAN($A364))^2  ))))</f>
        <v>119.999999994962</v>
      </c>
      <c r="M364" s="248" t="n">
        <f aca="false">ABS(90-90*SIGN(COS(M$363)*COS($A364))      -   DEGREES( ATAN(  SQRT(  ( TAN(M$363))^2  +  ( _xlfn.SEC(M$363) * TAN($A364))^2  ))))</f>
        <v>134.999999991273</v>
      </c>
      <c r="N364" s="248" t="n">
        <f aca="false">ABS(90-90*SIGN(COS(N$363)*COS($A364))      -   DEGREES( ATAN(  SQRT(  ( TAN(N$363))^2  +  ( _xlfn.SEC(N$363) * TAN($A364))^2  ))))</f>
        <v>149.999999984885</v>
      </c>
      <c r="O364" s="248" t="n">
        <f aca="false">ABS(90-90*SIGN(COS(O$363)*COS($A364))      -   DEGREES( ATAN(  SQRT(  ( TAN(O$363))^2  +  ( _xlfn.SEC(O$363) * TAN($A364))^2  ))))</f>
        <v>164.999999967432</v>
      </c>
      <c r="P364" s="248" t="n">
        <f aca="false">ABS(90-90*SIGN(COS(P$363)*COS($A364))      -   DEGREES( ATAN(  SQRT(  ( TAN(P$363))^2  +  ( _xlfn.SEC(P$363) * TAN($A364))^2  ))))</f>
        <v>179.999</v>
      </c>
      <c r="Q364" s="248" t="n">
        <f aca="false">ABS(90-90*SIGN(COS(Q$363)*COS($A364))      -   DEGREES( ATAN(  SQRT(  ( TAN(Q$363))^2  +  ( _xlfn.SEC(Q$363) * TAN($A364))^2  ))))</f>
        <v>164.999999967432</v>
      </c>
      <c r="R364" s="248" t="n">
        <f aca="false">ABS(90-90*SIGN(COS(R$363)*COS($A364))      -   DEGREES( ATAN(  SQRT(  ( TAN(R$363))^2  +  ( _xlfn.SEC(R$363) * TAN($A364))^2  ))))</f>
        <v>149.999999984885</v>
      </c>
      <c r="S364" s="248" t="n">
        <f aca="false">ABS(90-90*SIGN(COS(S$363)*COS($A364))      -   DEGREES( ATAN(  SQRT(  ( TAN(S$363))^2  +  ( _xlfn.SEC(S$363) * TAN($A364))^2  ))))</f>
        <v>134.999999991273</v>
      </c>
      <c r="T364" s="248" t="n">
        <f aca="false">ABS(90-90*SIGN(COS(T$363)*COS($A364))      -   DEGREES( ATAN(  SQRT(  ( TAN(T$363))^2  +  ( _xlfn.SEC(T$363) * TAN($A364))^2  ))))</f>
        <v>119.999999994962</v>
      </c>
      <c r="U364" s="248" t="n">
        <f aca="false">ABS(90-90*SIGN(COS(U$363)*COS($A364))      -   DEGREES( ATAN(  SQRT(  ( TAN(U$363))^2  +  ( _xlfn.SEC(U$363) * TAN($A364))^2  ))))</f>
        <v>104.999999997662</v>
      </c>
      <c r="V364" s="248" t="n">
        <f aca="false">DEGREES( ATAN(  SQRT(  ( TAN(V$363))^2  +  ( _xlfn.SEC(V$363) * TAN($A364))^2  )))</f>
        <v>90</v>
      </c>
      <c r="W364" s="248" t="n">
        <f aca="false">DEGREES( ATAN(  SQRT(  ( TAN(W$363))^2  +  ( _xlfn.SEC(W$363) * TAN($A364))^2  )))</f>
        <v>75.0000000023383</v>
      </c>
      <c r="X364" s="248" t="n">
        <f aca="false">DEGREES( ATAN(  SQRT(  ( TAN(X$363))^2  +  ( _xlfn.SEC(X$363) * TAN($A364))^2  )))</f>
        <v>60.0000000050383</v>
      </c>
      <c r="Y364" s="248" t="n">
        <f aca="false">DEGREES( ATAN(  SQRT(  ( TAN(Y$363))^2  +  ( _xlfn.SEC(Y$363) * TAN($A364))^2  )))</f>
        <v>45.0000000087266</v>
      </c>
      <c r="Z364" s="248" t="n">
        <f aca="false">DEGREES( ATAN(  SQRT(  ( TAN(Z$363))^2  +  ( _xlfn.SEC(Z$363) * TAN($A364))^2  )))</f>
        <v>30.000000015115</v>
      </c>
      <c r="AA364" s="248" t="n">
        <f aca="false">DEGREES( ATAN(  SQRT(  ( TAN(AA$363))^2  +  ( _xlfn.SEC(AA$363) * TAN($A364))^2  )))</f>
        <v>15.0000000325683</v>
      </c>
      <c r="AB364" s="248" t="n">
        <f aca="false">DEGREES( ATAN(  SQRT(  ( TAN(AB$363))^2  +  ( _xlfn.SEC(AB$363) * TAN($A364))^2  )))</f>
        <v>0.0100498756206071</v>
      </c>
      <c r="AC364" s="195" t="n">
        <f aca="false">DEGREES( ATAN(  SQRT(  ( TAN(AC$363))^2  +  ( _xlfn.SEC(AC$363) * TAN($A364))^2  )))</f>
        <v>0.00100000000000477</v>
      </c>
      <c r="AD364" s="195" t="n">
        <f aca="false">DEGREES( ATAN(  SQRT(  ( TAN(AD$363))^2  +  ( _xlfn.SEC(AD$363) * TAN($A364))^2  )))</f>
        <v>0.00100000000000477</v>
      </c>
      <c r="AE364" s="1"/>
      <c r="AF364" s="1"/>
      <c r="AG364" s="1"/>
      <c r="AH364" s="1"/>
      <c r="AI364" s="1"/>
      <c r="AJ364" s="1"/>
      <c r="AK364" s="1"/>
      <c r="AL364" s="1"/>
    </row>
    <row r="365" customFormat="false" ht="12.75" hidden="false" customHeight="true" outlineLevel="0" collapsed="false">
      <c r="A365" s="192" t="n">
        <f aca="false">RADIANS(MOD(B365-180,-360)+180)</f>
        <v>0.261799387799149</v>
      </c>
      <c r="B365" s="182" t="n">
        <v>15</v>
      </c>
      <c r="C365" s="1"/>
      <c r="D365" s="248" t="n">
        <f aca="false">DEGREES( ATAN(  SQRT(  ( TAN(D$363))^2  +  ( _xlfn.SEC(D$363) * TAN($A365))^2  )))</f>
        <v>15.0000000325683</v>
      </c>
      <c r="E365" s="210" t="n">
        <f aca="false">DEGREES( ATAN(  SQRT(  ( TAN(E$363))^2  +  ( _xlfn.SEC(E$363) * TAN($A365))^2  )))</f>
        <v>21.0905811789991</v>
      </c>
      <c r="F365" s="210" t="n">
        <f aca="false">DEGREES( ATAN(  SQRT(  ( TAN(F$363))^2  +  ( _xlfn.SEC(F$363) * TAN($A365))^2  )))</f>
        <v>33.2259422032876</v>
      </c>
      <c r="G365" s="210" t="n">
        <f aca="false">DEGREES( ATAN(  SQRT(  ( TAN(G$363))^2  +  ( _xlfn.SEC(G$363) * TAN($A365))^2  )))</f>
        <v>46.9204828581291</v>
      </c>
      <c r="H365" s="210" t="n">
        <f aca="false">DEGREES( ATAN(  SQRT(  ( TAN(H$363))^2  +  ( _xlfn.SEC(H$363) * TAN($A365))^2  )))</f>
        <v>61.1209059825724</v>
      </c>
      <c r="I365" s="210" t="n">
        <f aca="false">DEGREES( ATAN(  SQRT(  ( TAN(I$363))^2  +  ( _xlfn.SEC(I$363) * TAN($A365))^2  )))</f>
        <v>75.5224878140701</v>
      </c>
      <c r="J365" s="248" t="n">
        <f aca="false">DEGREES( ATAN(  SQRT(  ( TAN(J$363))^2  +  ( _xlfn.SEC(J$363) * TAN($A365))^2  )))</f>
        <v>90</v>
      </c>
      <c r="K365" s="249" t="n">
        <f aca="false">ABS(90-90*SIGN(COS(K$363)*COS($A365))      -   DEGREES( ATAN(  SQRT(  ( TAN(K$363))^2  +  ( _xlfn.SEC(K$363) * TAN($A365))^2  ))))</f>
        <v>104.47751218593</v>
      </c>
      <c r="L365" s="249" t="n">
        <f aca="false">ABS(90-90*SIGN(COS(L$363)*COS($A365))      -   DEGREES( ATAN(  SQRT(  ( TAN(L$363))^2  +  ( _xlfn.SEC(L$363) * TAN($A365))^2  ))))</f>
        <v>118.879094017428</v>
      </c>
      <c r="M365" s="249" t="n">
        <f aca="false">ABS(90-90*SIGN(COS(M$363)*COS($A365))      -   DEGREES( ATAN(  SQRT(  ( TAN(M$363))^2  +  ( _xlfn.SEC(M$363) * TAN($A365))^2  ))))</f>
        <v>133.079517141871</v>
      </c>
      <c r="N365" s="249" t="n">
        <f aca="false">ABS(90-90*SIGN(COS(N$363)*COS($A365))      -   DEGREES( ATAN(  SQRT(  ( TAN(N$363))^2  +  ( _xlfn.SEC(N$363) * TAN($A365))^2  ))))</f>
        <v>146.774057796712</v>
      </c>
      <c r="O365" s="249" t="n">
        <f aca="false">ABS(90-90*SIGN(COS(O$363)*COS($A365))      -   DEGREES( ATAN(  SQRT(  ( TAN(O$363))^2  +  ( _xlfn.SEC(O$363) * TAN($A365))^2  ))))</f>
        <v>158.909418821001</v>
      </c>
      <c r="P365" s="248" t="n">
        <f aca="false">ABS(90-90*SIGN(COS(P$363)*COS($A365))      -   DEGREES( ATAN(  SQRT(  ( TAN(P$363))^2  +  ( _xlfn.SEC(P$363) * TAN($A365))^2  ))))</f>
        <v>165</v>
      </c>
      <c r="Q365" s="249" t="n">
        <f aca="false">ABS(90-90*SIGN(COS(Q$363)*COS($A365))      -   DEGREES( ATAN(  SQRT(  ( TAN(Q$363))^2  +  ( _xlfn.SEC(Q$363) * TAN($A365))^2  ))))</f>
        <v>158.909418821001</v>
      </c>
      <c r="R365" s="249" t="n">
        <f aca="false">ABS(90-90*SIGN(COS(R$363)*COS($A365))      -   DEGREES( ATAN(  SQRT(  ( TAN(R$363))^2  +  ( _xlfn.SEC(R$363) * TAN($A365))^2  ))))</f>
        <v>146.774057796712</v>
      </c>
      <c r="S365" s="249" t="n">
        <f aca="false">ABS(90-90*SIGN(COS(S$363)*COS($A365))      -   DEGREES( ATAN(  SQRT(  ( TAN(S$363))^2  +  ( _xlfn.SEC(S$363) * TAN($A365))^2  ))))</f>
        <v>133.079517141871</v>
      </c>
      <c r="T365" s="249" t="n">
        <f aca="false">ABS(90-90*SIGN(COS(T$363)*COS($A365))      -   DEGREES( ATAN(  SQRT(  ( TAN(T$363))^2  +  ( _xlfn.SEC(T$363) * TAN($A365))^2  ))))</f>
        <v>118.879094017428</v>
      </c>
      <c r="U365" s="249" t="n">
        <f aca="false">ABS(90-90*SIGN(COS(U$363)*COS($A365))      -   DEGREES( ATAN(  SQRT(  ( TAN(U$363))^2  +  ( _xlfn.SEC(U$363) * TAN($A365))^2  ))))</f>
        <v>104.47751218593</v>
      </c>
      <c r="V365" s="248" t="n">
        <f aca="false">DEGREES( ATAN(  SQRT(  ( TAN(V$363))^2  +  ( _xlfn.SEC(V$363) * TAN($A365))^2  )))</f>
        <v>90</v>
      </c>
      <c r="W365" s="210" t="n">
        <f aca="false">DEGREES( ATAN(  SQRT(  ( TAN(W$363))^2  +  ( _xlfn.SEC(W$363) * TAN($A365))^2  )))</f>
        <v>75.5224878140701</v>
      </c>
      <c r="X365" s="210" t="n">
        <f aca="false">DEGREES( ATAN(  SQRT(  ( TAN(X$363))^2  +  ( _xlfn.SEC(X$363) * TAN($A365))^2  )))</f>
        <v>61.1209059825724</v>
      </c>
      <c r="Y365" s="210" t="n">
        <f aca="false">DEGREES( ATAN(  SQRT(  ( TAN(Y$363))^2  +  ( _xlfn.SEC(Y$363) * TAN($A365))^2  )))</f>
        <v>46.9204828581291</v>
      </c>
      <c r="Z365" s="210" t="n">
        <f aca="false">DEGREES( ATAN(  SQRT(  ( TAN(Z$363))^2  +  ( _xlfn.SEC(Z$363) * TAN($A365))^2  )))</f>
        <v>33.2259422032876</v>
      </c>
      <c r="AA365" s="210" t="n">
        <f aca="false">DEGREES( ATAN(  SQRT(  ( TAN(AA$363))^2  +  ( _xlfn.SEC(AA$363) * TAN($A365))^2  )))</f>
        <v>21.0905811789991</v>
      </c>
      <c r="AB365" s="248" t="n">
        <f aca="false">DEGREES( ATAN(  SQRT(  ( TAN(AB$363))^2  +  ( _xlfn.SEC(AB$363) * TAN($A365))^2  )))</f>
        <v>15.0000032568284</v>
      </c>
      <c r="AC365" s="195" t="n">
        <f aca="false">DEGREES( ATAN(  SQRT(  ( TAN(AC$363))^2  +  ( _xlfn.SEC(AC$363) * TAN($A365))^2  )))</f>
        <v>15</v>
      </c>
      <c r="AD365" s="195" t="n">
        <f aca="false">DEGREES( ATAN(  SQRT(  ( TAN(AD$363))^2  +  ( _xlfn.SEC(AD$363) * TAN($A365))^2  )))</f>
        <v>15</v>
      </c>
      <c r="AE365" s="1"/>
      <c r="AF365" s="1"/>
      <c r="AG365" s="1"/>
      <c r="AH365" s="1"/>
      <c r="AI365" s="1"/>
      <c r="AJ365" s="1"/>
      <c r="AK365" s="1"/>
      <c r="AL365" s="1"/>
    </row>
    <row r="366" customFormat="false" ht="12.75" hidden="false" customHeight="true" outlineLevel="0" collapsed="false">
      <c r="A366" s="192" t="n">
        <f aca="false">RADIANS(MOD(B366-180,-360)+180)</f>
        <v>0.523598775598299</v>
      </c>
      <c r="B366" s="182" t="n">
        <v>30</v>
      </c>
      <c r="C366" s="1"/>
      <c r="D366" s="248" t="n">
        <f aca="false">DEGREES( ATAN(  SQRT(  ( TAN(D$363))^2  +  ( _xlfn.SEC(D$363) * TAN($A366))^2  )))</f>
        <v>30.000000015115</v>
      </c>
      <c r="E366" s="210" t="n">
        <f aca="false">DEGREES( ATAN(  SQRT(  ( TAN(E$363))^2  +  ( _xlfn.SEC(E$363) * TAN($A366))^2  )))</f>
        <v>33.2259422032876</v>
      </c>
      <c r="F366" s="210" t="n">
        <f aca="false">DEGREES( ATAN(  SQRT(  ( TAN(F$363))^2  +  ( _xlfn.SEC(F$363) * TAN($A366))^2  )))</f>
        <v>41.4096221092709</v>
      </c>
      <c r="G366" s="210" t="n">
        <f aca="false">DEGREES( ATAN(  SQRT(  ( TAN(G$363))^2  +  ( _xlfn.SEC(G$363) * TAN($A366))^2  )))</f>
        <v>52.238756092965</v>
      </c>
      <c r="H366" s="210" t="n">
        <f aca="false">DEGREES( ATAN(  SQRT(  ( TAN(H$363))^2  +  ( _xlfn.SEC(H$363) * TAN($A366))^2  )))</f>
        <v>64.3410937267447</v>
      </c>
      <c r="I366" s="210" t="n">
        <f aca="false">DEGREES( ATAN(  SQRT(  ( TAN(I$363))^2  +  ( _xlfn.SEC(I$363) * TAN($A366))^2  )))</f>
        <v>77.0474603577776</v>
      </c>
      <c r="J366" s="248" t="n">
        <f aca="false">DEGREES( ATAN(  SQRT(  ( TAN(J$363))^2  +  ( _xlfn.SEC(J$363) * TAN($A366))^2  )))</f>
        <v>90</v>
      </c>
      <c r="K366" s="249" t="n">
        <f aca="false">ABS(90-90*SIGN(COS(K$363)*COS($A366))      -   DEGREES( ATAN(  SQRT(  ( TAN(K$363))^2  +  ( _xlfn.SEC(K$363) * TAN($A366))^2  ))))</f>
        <v>102.952539642222</v>
      </c>
      <c r="L366" s="249" t="n">
        <f aca="false">ABS(90-90*SIGN(COS(L$363)*COS($A366))      -   DEGREES( ATAN(  SQRT(  ( TAN(L$363))^2  +  ( _xlfn.SEC(L$363) * TAN($A366))^2  ))))</f>
        <v>115.658906273255</v>
      </c>
      <c r="M366" s="249" t="n">
        <f aca="false">ABS(90-90*SIGN(COS(M$363)*COS($A366))      -   DEGREES( ATAN(  SQRT(  ( TAN(M$363))^2  +  ( _xlfn.SEC(M$363) * TAN($A366))^2  ))))</f>
        <v>127.761243907035</v>
      </c>
      <c r="N366" s="249" t="n">
        <f aca="false">ABS(90-90*SIGN(COS(N$363)*COS($A366))      -   DEGREES( ATAN(  SQRT(  ( TAN(N$363))^2  +  ( _xlfn.SEC(N$363) * TAN($A366))^2  ))))</f>
        <v>138.590377890729</v>
      </c>
      <c r="O366" s="249" t="n">
        <f aca="false">ABS(90-90*SIGN(COS(O$363)*COS($A366))      -   DEGREES( ATAN(  SQRT(  ( TAN(O$363))^2  +  ( _xlfn.SEC(O$363) * TAN($A366))^2  ))))</f>
        <v>146.774057796712</v>
      </c>
      <c r="P366" s="248" t="n">
        <f aca="false">ABS(90-90*SIGN(COS(P$363)*COS($A366))      -   DEGREES( ATAN(  SQRT(  ( TAN(P$363))^2  +  ( _xlfn.SEC(P$363) * TAN($A366))^2  ))))</f>
        <v>150</v>
      </c>
      <c r="Q366" s="249" t="n">
        <f aca="false">ABS(90-90*SIGN(COS(Q$363)*COS($A366))      -   DEGREES( ATAN(  SQRT(  ( TAN(Q$363))^2  +  ( _xlfn.SEC(Q$363) * TAN($A366))^2  ))))</f>
        <v>146.774057796712</v>
      </c>
      <c r="R366" s="249" t="n">
        <f aca="false">ABS(90-90*SIGN(COS(R$363)*COS($A366))      -   DEGREES( ATAN(  SQRT(  ( TAN(R$363))^2  +  ( _xlfn.SEC(R$363) * TAN($A366))^2  ))))</f>
        <v>138.590377890729</v>
      </c>
      <c r="S366" s="249" t="n">
        <f aca="false">ABS(90-90*SIGN(COS(S$363)*COS($A366))      -   DEGREES( ATAN(  SQRT(  ( TAN(S$363))^2  +  ( _xlfn.SEC(S$363) * TAN($A366))^2  ))))</f>
        <v>127.761243907035</v>
      </c>
      <c r="T366" s="249" t="n">
        <f aca="false">ABS(90-90*SIGN(COS(T$363)*COS($A366))      -   DEGREES( ATAN(  SQRT(  ( TAN(T$363))^2  +  ( _xlfn.SEC(T$363) * TAN($A366))^2  ))))</f>
        <v>115.658906273255</v>
      </c>
      <c r="U366" s="249" t="n">
        <f aca="false">ABS(90-90*SIGN(COS(U$363)*COS($A366))      -   DEGREES( ATAN(  SQRT(  ( TAN(U$363))^2  +  ( _xlfn.SEC(U$363) * TAN($A366))^2  ))))</f>
        <v>102.952539642222</v>
      </c>
      <c r="V366" s="248" t="n">
        <f aca="false">DEGREES( ATAN(  SQRT(  ( TAN(V$363))^2  +  ( _xlfn.SEC(V$363) * TAN($A366))^2  )))</f>
        <v>90</v>
      </c>
      <c r="W366" s="210" t="n">
        <f aca="false">DEGREES( ATAN(  SQRT(  ( TAN(W$363))^2  +  ( _xlfn.SEC(W$363) * TAN($A366))^2  )))</f>
        <v>77.0474603577776</v>
      </c>
      <c r="X366" s="210" t="n">
        <f aca="false">DEGREES( ATAN(  SQRT(  ( TAN(X$363))^2  +  ( _xlfn.SEC(X$363) * TAN($A366))^2  )))</f>
        <v>64.3410937267447</v>
      </c>
      <c r="Y366" s="210" t="n">
        <f aca="false">DEGREES( ATAN(  SQRT(  ( TAN(Y$363))^2  +  ( _xlfn.SEC(Y$363) * TAN($A366))^2  )))</f>
        <v>52.238756092965</v>
      </c>
      <c r="Z366" s="210" t="n">
        <f aca="false">DEGREES( ATAN(  SQRT(  ( TAN(Z$363))^2  +  ( _xlfn.SEC(Z$363) * TAN($A366))^2  )))</f>
        <v>41.4096221092709</v>
      </c>
      <c r="AA366" s="210" t="n">
        <f aca="false">DEGREES( ATAN(  SQRT(  ( TAN(AA$363))^2  +  ( _xlfn.SEC(AA$363) * TAN($A366))^2  )))</f>
        <v>33.2259422032876</v>
      </c>
      <c r="AB366" s="248" t="n">
        <f aca="false">DEGREES( ATAN(  SQRT(  ( TAN(AB$363))^2  +  ( _xlfn.SEC(AB$363) * TAN($A366))^2  )))</f>
        <v>30.0000015114994</v>
      </c>
      <c r="AC366" s="195" t="n">
        <f aca="false">DEGREES( ATAN(  SQRT(  ( TAN(AC$363))^2  +  ( _xlfn.SEC(AC$363) * TAN($A366))^2  )))</f>
        <v>30</v>
      </c>
      <c r="AD366" s="195" t="n">
        <f aca="false">DEGREES( ATAN(  SQRT(  ( TAN(AD$363))^2  +  ( _xlfn.SEC(AD$363) * TAN($A366))^2  )))</f>
        <v>30</v>
      </c>
      <c r="AE366" s="1"/>
      <c r="AF366" s="1"/>
      <c r="AG366" s="1"/>
      <c r="AH366" s="1"/>
      <c r="AI366" s="1"/>
      <c r="AJ366" s="1"/>
      <c r="AK366" s="1"/>
      <c r="AL366" s="1"/>
    </row>
    <row r="367" customFormat="false" ht="12.75" hidden="false" customHeight="true" outlineLevel="0" collapsed="false">
      <c r="A367" s="192" t="n">
        <f aca="false">RADIANS(MOD(B367-180,-360)+180)</f>
        <v>0.785398163397448</v>
      </c>
      <c r="B367" s="182" t="n">
        <v>45</v>
      </c>
      <c r="C367" s="1"/>
      <c r="D367" s="248" t="n">
        <f aca="false">DEGREES( ATAN(  SQRT(  ( TAN(D$363))^2  +  ( _xlfn.SEC(D$363) * TAN($A367))^2  )))</f>
        <v>45.0000000087266</v>
      </c>
      <c r="E367" s="210" t="n">
        <f aca="false">DEGREES( ATAN(  SQRT(  ( TAN(E$363))^2  +  ( _xlfn.SEC(E$363) * TAN($A367))^2  )))</f>
        <v>46.9204828581291</v>
      </c>
      <c r="F367" s="210" t="n">
        <f aca="false">DEGREES( ATAN(  SQRT(  ( TAN(F$363))^2  +  ( _xlfn.SEC(F$363) * TAN($A367))^2  )))</f>
        <v>52.238756092965</v>
      </c>
      <c r="G367" s="210" t="n">
        <f aca="false">DEGREES( ATAN(  SQRT(  ( TAN(G$363))^2  +  ( _xlfn.SEC(G$363) * TAN($A367))^2  )))</f>
        <v>60</v>
      </c>
      <c r="H367" s="210" t="n">
        <f aca="false">DEGREES( ATAN(  SQRT(  ( TAN(H$363))^2  +  ( _xlfn.SEC(H$363) * TAN($A367))^2  )))</f>
        <v>69.2951889453646</v>
      </c>
      <c r="I367" s="210" t="n">
        <f aca="false">DEGREES( ATAN(  SQRT(  ( TAN(I$363))^2  +  ( _xlfn.SEC(I$363) * TAN($A367))^2  )))</f>
        <v>79.4547094105005</v>
      </c>
      <c r="J367" s="248" t="n">
        <f aca="false">DEGREES( ATAN(  SQRT(  ( TAN(J$363))^2  +  ( _xlfn.SEC(J$363) * TAN($A367))^2  )))</f>
        <v>90</v>
      </c>
      <c r="K367" s="249" t="n">
        <f aca="false">ABS(90-90*SIGN(COS(K$363)*COS($A367))      -   DEGREES( ATAN(  SQRT(  ( TAN(K$363))^2  +  ( _xlfn.SEC(K$363) * TAN($A367))^2  ))))</f>
        <v>100.5452905895</v>
      </c>
      <c r="L367" s="249" t="n">
        <f aca="false">ABS(90-90*SIGN(COS(L$363)*COS($A367))      -   DEGREES( ATAN(  SQRT(  ( TAN(L$363))^2  +  ( _xlfn.SEC(L$363) * TAN($A367))^2  ))))</f>
        <v>110.704811054635</v>
      </c>
      <c r="M367" s="249" t="n">
        <f aca="false">ABS(90-90*SIGN(COS(M$363)*COS($A367))      -   DEGREES( ATAN(  SQRT(  ( TAN(M$363))^2  +  ( _xlfn.SEC(M$363) * TAN($A367))^2  ))))</f>
        <v>120</v>
      </c>
      <c r="N367" s="249" t="n">
        <f aca="false">ABS(90-90*SIGN(COS(N$363)*COS($A367))      -   DEGREES( ATAN(  SQRT(  ( TAN(N$363))^2  +  ( _xlfn.SEC(N$363) * TAN($A367))^2  ))))</f>
        <v>127.761243907035</v>
      </c>
      <c r="O367" s="249" t="n">
        <f aca="false">ABS(90-90*SIGN(COS(O$363)*COS($A367))      -   DEGREES( ATAN(  SQRT(  ( TAN(O$363))^2  +  ( _xlfn.SEC(O$363) * TAN($A367))^2  ))))</f>
        <v>133.079517141871</v>
      </c>
      <c r="P367" s="248" t="n">
        <f aca="false">ABS(90-90*SIGN(COS(P$363)*COS($A367))      -   DEGREES( ATAN(  SQRT(  ( TAN(P$363))^2  +  ( _xlfn.SEC(P$363) * TAN($A367))^2  ))))</f>
        <v>135</v>
      </c>
      <c r="Q367" s="249" t="n">
        <f aca="false">ABS(90-90*SIGN(COS(Q$363)*COS($A367))      -   DEGREES( ATAN(  SQRT(  ( TAN(Q$363))^2  +  ( _xlfn.SEC(Q$363) * TAN($A367))^2  ))))</f>
        <v>133.079517141871</v>
      </c>
      <c r="R367" s="249" t="n">
        <f aca="false">ABS(90-90*SIGN(COS(R$363)*COS($A367))      -   DEGREES( ATAN(  SQRT(  ( TAN(R$363))^2  +  ( _xlfn.SEC(R$363) * TAN($A367))^2  ))))</f>
        <v>127.761243907035</v>
      </c>
      <c r="S367" s="249" t="n">
        <f aca="false">ABS(90-90*SIGN(COS(S$363)*COS($A367))      -   DEGREES( ATAN(  SQRT(  ( TAN(S$363))^2  +  ( _xlfn.SEC(S$363) * TAN($A367))^2  ))))</f>
        <v>120</v>
      </c>
      <c r="T367" s="249" t="n">
        <f aca="false">ABS(90-90*SIGN(COS(T$363)*COS($A367))      -   DEGREES( ATAN(  SQRT(  ( TAN(T$363))^2  +  ( _xlfn.SEC(T$363) * TAN($A367))^2  ))))</f>
        <v>110.704811054635</v>
      </c>
      <c r="U367" s="249" t="n">
        <f aca="false">ABS(90-90*SIGN(COS(U$363)*COS($A367))      -   DEGREES( ATAN(  SQRT(  ( TAN(U$363))^2  +  ( _xlfn.SEC(U$363) * TAN($A367))^2  ))))</f>
        <v>100.5452905895</v>
      </c>
      <c r="V367" s="248" t="n">
        <f aca="false">DEGREES( ATAN(  SQRT(  ( TAN(V$363))^2  +  ( _xlfn.SEC(V$363) * TAN($A367))^2  )))</f>
        <v>90</v>
      </c>
      <c r="W367" s="210" t="n">
        <f aca="false">DEGREES( ATAN(  SQRT(  ( TAN(W$363))^2  +  ( _xlfn.SEC(W$363) * TAN($A367))^2  )))</f>
        <v>79.4547094105005</v>
      </c>
      <c r="X367" s="210" t="n">
        <f aca="false">DEGREES( ATAN(  SQRT(  ( TAN(X$363))^2  +  ( _xlfn.SEC(X$363) * TAN($A367))^2  )))</f>
        <v>69.2951889453646</v>
      </c>
      <c r="Y367" s="210" t="n">
        <f aca="false">DEGREES( ATAN(  SQRT(  ( TAN(Y$363))^2  +  ( _xlfn.SEC(Y$363) * TAN($A367))^2  )))</f>
        <v>60</v>
      </c>
      <c r="Z367" s="210" t="n">
        <f aca="false">DEGREES( ATAN(  SQRT(  ( TAN(Z$363))^2  +  ( _xlfn.SEC(Z$363) * TAN($A367))^2  )))</f>
        <v>52.238756092965</v>
      </c>
      <c r="AA367" s="210" t="n">
        <f aca="false">DEGREES( ATAN(  SQRT(  ( TAN(AA$363))^2  +  ( _xlfn.SEC(AA$363) * TAN($A367))^2  )))</f>
        <v>46.9204828581291</v>
      </c>
      <c r="AB367" s="248" t="n">
        <f aca="false">DEGREES( ATAN(  SQRT(  ( TAN(AB$363))^2  +  ( _xlfn.SEC(AB$363) * TAN($A367))^2  )))</f>
        <v>45.0000008726646</v>
      </c>
      <c r="AC367" s="195" t="n">
        <f aca="false">DEGREES( ATAN(  SQRT(  ( TAN(AC$363))^2  +  ( _xlfn.SEC(AC$363) * TAN($A367))^2  )))</f>
        <v>45</v>
      </c>
      <c r="AD367" s="195" t="n">
        <f aca="false">DEGREES( ATAN(  SQRT(  ( TAN(AD$363))^2  +  ( _xlfn.SEC(AD$363) * TAN($A367))^2  )))</f>
        <v>45</v>
      </c>
      <c r="AE367" s="1"/>
      <c r="AF367" s="1"/>
      <c r="AG367" s="1"/>
      <c r="AH367" s="1"/>
      <c r="AI367" s="1"/>
      <c r="AJ367" s="1"/>
      <c r="AK367" s="1"/>
      <c r="AL367" s="1"/>
    </row>
    <row r="368" customFormat="false" ht="12.75" hidden="false" customHeight="true" outlineLevel="0" collapsed="false">
      <c r="A368" s="192" t="n">
        <f aca="false">RADIANS(MOD(B368-180,-360)+180)</f>
        <v>1.0471975511966</v>
      </c>
      <c r="B368" s="182" t="n">
        <v>60</v>
      </c>
      <c r="C368" s="1"/>
      <c r="D368" s="248" t="n">
        <f aca="false">DEGREES( ATAN(  SQRT(  ( TAN(D$363))^2  +  ( _xlfn.SEC(D$363) * TAN($A368))^2  )))</f>
        <v>60.0000000050383</v>
      </c>
      <c r="E368" s="210" t="n">
        <f aca="false">DEGREES( ATAN(  SQRT(  ( TAN(E$363))^2  +  ( _xlfn.SEC(E$363) * TAN($A368))^2  )))</f>
        <v>61.1209059825724</v>
      </c>
      <c r="F368" s="210" t="n">
        <f aca="false">DEGREES( ATAN(  SQRT(  ( TAN(F$363))^2  +  ( _xlfn.SEC(F$363) * TAN($A368))^2  )))</f>
        <v>64.3410937267447</v>
      </c>
      <c r="G368" s="210" t="n">
        <f aca="false">DEGREES( ATAN(  SQRT(  ( TAN(G$363))^2  +  ( _xlfn.SEC(G$363) * TAN($A368))^2  )))</f>
        <v>69.2951889453646</v>
      </c>
      <c r="H368" s="210" t="n">
        <f aca="false">DEGREES( ATAN(  SQRT(  ( TAN(H$363))^2  +  ( _xlfn.SEC(H$363) * TAN($A368))^2  )))</f>
        <v>75.5224878140701</v>
      </c>
      <c r="I368" s="210" t="n">
        <f aca="false">DEGREES( ATAN(  SQRT(  ( TAN(I$363))^2  +  ( _xlfn.SEC(I$363) * TAN($A368))^2  )))</f>
        <v>82.5645277738682</v>
      </c>
      <c r="J368" s="248" t="n">
        <f aca="false">DEGREES( ATAN(  SQRT(  ( TAN(J$363))^2  +  ( _xlfn.SEC(J$363) * TAN($A368))^2  )))</f>
        <v>90</v>
      </c>
      <c r="K368" s="249" t="n">
        <f aca="false">ABS(90-90*SIGN(COS(K$363)*COS($A368))      -   DEGREES( ATAN(  SQRT(  ( TAN(K$363))^2  +  ( _xlfn.SEC(K$363) * TAN($A368))^2  ))))</f>
        <v>97.4354722261318</v>
      </c>
      <c r="L368" s="249" t="n">
        <f aca="false">ABS(90-90*SIGN(COS(L$363)*COS($A368))      -   DEGREES( ATAN(  SQRT(  ( TAN(L$363))^2  +  ( _xlfn.SEC(L$363) * TAN($A368))^2  ))))</f>
        <v>104.47751218593</v>
      </c>
      <c r="M368" s="249" t="n">
        <f aca="false">ABS(90-90*SIGN(COS(M$363)*COS($A368))      -   DEGREES( ATAN(  SQRT(  ( TAN(M$363))^2  +  ( _xlfn.SEC(M$363) * TAN($A368))^2  ))))</f>
        <v>110.704811054635</v>
      </c>
      <c r="N368" s="249" t="n">
        <f aca="false">ABS(90-90*SIGN(COS(N$363)*COS($A368))      -   DEGREES( ATAN(  SQRT(  ( TAN(N$363))^2  +  ( _xlfn.SEC(N$363) * TAN($A368))^2  ))))</f>
        <v>115.658906273255</v>
      </c>
      <c r="O368" s="249" t="n">
        <f aca="false">ABS(90-90*SIGN(COS(O$363)*COS($A368))      -   DEGREES( ATAN(  SQRT(  ( TAN(O$363))^2  +  ( _xlfn.SEC(O$363) * TAN($A368))^2  ))))</f>
        <v>118.879094017428</v>
      </c>
      <c r="P368" s="248" t="n">
        <f aca="false">ABS(90-90*SIGN(COS(P$363)*COS($A368))      -   DEGREES( ATAN(  SQRT(  ( TAN(P$363))^2  +  ( _xlfn.SEC(P$363) * TAN($A368))^2  ))))</f>
        <v>120</v>
      </c>
      <c r="Q368" s="249" t="n">
        <f aca="false">ABS(90-90*SIGN(COS(Q$363)*COS($A368))      -   DEGREES( ATAN(  SQRT(  ( TAN(Q$363))^2  +  ( _xlfn.SEC(Q$363) * TAN($A368))^2  ))))</f>
        <v>118.879094017428</v>
      </c>
      <c r="R368" s="249" t="n">
        <f aca="false">ABS(90-90*SIGN(COS(R$363)*COS($A368))      -   DEGREES( ATAN(  SQRT(  ( TAN(R$363))^2  +  ( _xlfn.SEC(R$363) * TAN($A368))^2  ))))</f>
        <v>115.658906273255</v>
      </c>
      <c r="S368" s="249" t="n">
        <f aca="false">ABS(90-90*SIGN(COS(S$363)*COS($A368))      -   DEGREES( ATAN(  SQRT(  ( TAN(S$363))^2  +  ( _xlfn.SEC(S$363) * TAN($A368))^2  ))))</f>
        <v>110.704811054635</v>
      </c>
      <c r="T368" s="249" t="n">
        <f aca="false">ABS(90-90*SIGN(COS(T$363)*COS($A368))      -   DEGREES( ATAN(  SQRT(  ( TAN(T$363))^2  +  ( _xlfn.SEC(T$363) * TAN($A368))^2  ))))</f>
        <v>104.47751218593</v>
      </c>
      <c r="U368" s="249" t="n">
        <f aca="false">ABS(90-90*SIGN(COS(U$363)*COS($A368))      -   DEGREES( ATAN(  SQRT(  ( TAN(U$363))^2  +  ( _xlfn.SEC(U$363) * TAN($A368))^2  ))))</f>
        <v>97.4354722261318</v>
      </c>
      <c r="V368" s="248" t="n">
        <f aca="false">DEGREES( ATAN(  SQRT(  ( TAN(V$363))^2  +  ( _xlfn.SEC(V$363) * TAN($A368))^2  )))</f>
        <v>90</v>
      </c>
      <c r="W368" s="210" t="n">
        <f aca="false">DEGREES( ATAN(  SQRT(  ( TAN(W$363))^2  +  ( _xlfn.SEC(W$363) * TAN($A368))^2  )))</f>
        <v>82.5645277738682</v>
      </c>
      <c r="X368" s="210" t="n">
        <f aca="false">DEGREES( ATAN(  SQRT(  ( TAN(X$363))^2  +  ( _xlfn.SEC(X$363) * TAN($A368))^2  )))</f>
        <v>75.5224878140701</v>
      </c>
      <c r="Y368" s="210" t="n">
        <f aca="false">DEGREES( ATAN(  SQRT(  ( TAN(Y$363))^2  +  ( _xlfn.SEC(Y$363) * TAN($A368))^2  )))</f>
        <v>69.2951889453646</v>
      </c>
      <c r="Z368" s="210" t="n">
        <f aca="false">DEGREES( ATAN(  SQRT(  ( TAN(Z$363))^2  +  ( _xlfn.SEC(Z$363) * TAN($A368))^2  )))</f>
        <v>64.3410937267447</v>
      </c>
      <c r="AA368" s="210" t="n">
        <f aca="false">DEGREES( ATAN(  SQRT(  ( TAN(AA$363))^2  +  ( _xlfn.SEC(AA$363) * TAN($A368))^2  )))</f>
        <v>61.1209059825724</v>
      </c>
      <c r="AB368" s="248" t="n">
        <f aca="false">DEGREES( ATAN(  SQRT(  ( TAN(AB$363))^2  +  ( _xlfn.SEC(AB$363) * TAN($A368))^2  )))</f>
        <v>60.0000005038332</v>
      </c>
      <c r="AC368" s="195" t="n">
        <f aca="false">DEGREES( ATAN(  SQRT(  ( TAN(AC$363))^2  +  ( _xlfn.SEC(AC$363) * TAN($A368))^2  )))</f>
        <v>60</v>
      </c>
      <c r="AD368" s="195" t="n">
        <f aca="false">DEGREES( ATAN(  SQRT(  ( TAN(AD$363))^2  +  ( _xlfn.SEC(AD$363) * TAN($A368))^2  )))</f>
        <v>60</v>
      </c>
      <c r="AE368" s="1"/>
      <c r="AF368" s="1"/>
      <c r="AG368" s="1"/>
      <c r="AH368" s="1"/>
      <c r="AI368" s="1"/>
      <c r="AJ368" s="1"/>
      <c r="AK368" s="1"/>
      <c r="AL368" s="1"/>
    </row>
    <row r="369" customFormat="false" ht="12.75" hidden="false" customHeight="true" outlineLevel="0" collapsed="false">
      <c r="A369" s="192" t="n">
        <f aca="false">RADIANS(MOD(B369-180,-360)+180)</f>
        <v>1.30899693899575</v>
      </c>
      <c r="B369" s="182" t="n">
        <v>75</v>
      </c>
      <c r="C369" s="1"/>
      <c r="D369" s="248" t="n">
        <f aca="false">DEGREES( ATAN(  SQRT(  ( TAN(D$363))^2  +  ( _xlfn.SEC(D$363) * TAN($A369))^2  )))</f>
        <v>75.0000000023383</v>
      </c>
      <c r="E369" s="210" t="n">
        <f aca="false">DEGREES( ATAN(  SQRT(  ( TAN(E$363))^2  +  ( _xlfn.SEC(E$363) * TAN($A369))^2  )))</f>
        <v>75.5224878140701</v>
      </c>
      <c r="F369" s="210" t="n">
        <f aca="false">DEGREES( ATAN(  SQRT(  ( TAN(F$363))^2  +  ( _xlfn.SEC(F$363) * TAN($A369))^2  )))</f>
        <v>77.0474603577776</v>
      </c>
      <c r="G369" s="210" t="n">
        <f aca="false">DEGREES( ATAN(  SQRT(  ( TAN(G$363))^2  +  ( _xlfn.SEC(G$363) * TAN($A369))^2  )))</f>
        <v>79.4547094105005</v>
      </c>
      <c r="H369" s="210" t="n">
        <f aca="false">DEGREES( ATAN(  SQRT(  ( TAN(H$363))^2  +  ( _xlfn.SEC(H$363) * TAN($A369))^2  )))</f>
        <v>82.5645277738682</v>
      </c>
      <c r="I369" s="210" t="n">
        <f aca="false">DEGREES( ATAN(  SQRT(  ( TAN(I$363))^2  +  ( _xlfn.SEC(I$363) * TAN($A369))^2  )))</f>
        <v>86.1590342837419</v>
      </c>
      <c r="J369" s="248" t="n">
        <f aca="false">DEGREES( ATAN(  SQRT(  ( TAN(J$363))^2  +  ( _xlfn.SEC(J$363) * TAN($A369))^2  )))</f>
        <v>90</v>
      </c>
      <c r="K369" s="249" t="n">
        <f aca="false">ABS(90-90*SIGN(COS(K$363)*COS($A369))      -   DEGREES( ATAN(  SQRT(  ( TAN(K$363))^2  +  ( _xlfn.SEC(K$363) * TAN($A369))^2  ))))</f>
        <v>93.8409657162581</v>
      </c>
      <c r="L369" s="249" t="n">
        <f aca="false">ABS(90-90*SIGN(COS(L$363)*COS($A369))      -   DEGREES( ATAN(  SQRT(  ( TAN(L$363))^2  +  ( _xlfn.SEC(L$363) * TAN($A369))^2  ))))</f>
        <v>97.4354722261318</v>
      </c>
      <c r="M369" s="249" t="n">
        <f aca="false">ABS(90-90*SIGN(COS(M$363)*COS($A369))      -   DEGREES( ATAN(  SQRT(  ( TAN(M$363))^2  +  ( _xlfn.SEC(M$363) * TAN($A369))^2  ))))</f>
        <v>100.5452905895</v>
      </c>
      <c r="N369" s="249" t="n">
        <f aca="false">ABS(90-90*SIGN(COS(N$363)*COS($A369))      -   DEGREES( ATAN(  SQRT(  ( TAN(N$363))^2  +  ( _xlfn.SEC(N$363) * TAN($A369))^2  ))))</f>
        <v>102.952539642222</v>
      </c>
      <c r="O369" s="249" t="n">
        <f aca="false">ABS(90-90*SIGN(COS(O$363)*COS($A369))      -   DEGREES( ATAN(  SQRT(  ( TAN(O$363))^2  +  ( _xlfn.SEC(O$363) * TAN($A369))^2  ))))</f>
        <v>104.47751218593</v>
      </c>
      <c r="P369" s="248" t="n">
        <f aca="false">ABS(90-90*SIGN(COS(P$363)*COS($A369))      -   DEGREES( ATAN(  SQRT(  ( TAN(P$363))^2  +  ( _xlfn.SEC(P$363) * TAN($A369))^2  ))))</f>
        <v>105</v>
      </c>
      <c r="Q369" s="249" t="n">
        <f aca="false">ABS(90-90*SIGN(COS(Q$363)*COS($A369))      -   DEGREES( ATAN(  SQRT(  ( TAN(Q$363))^2  +  ( _xlfn.SEC(Q$363) * TAN($A369))^2  ))))</f>
        <v>104.47751218593</v>
      </c>
      <c r="R369" s="249" t="n">
        <f aca="false">ABS(90-90*SIGN(COS(R$363)*COS($A369))      -   DEGREES( ATAN(  SQRT(  ( TAN(R$363))^2  +  ( _xlfn.SEC(R$363) * TAN($A369))^2  ))))</f>
        <v>102.952539642222</v>
      </c>
      <c r="S369" s="249" t="n">
        <f aca="false">ABS(90-90*SIGN(COS(S$363)*COS($A369))      -   DEGREES( ATAN(  SQRT(  ( TAN(S$363))^2  +  ( _xlfn.SEC(S$363) * TAN($A369))^2  ))))</f>
        <v>100.5452905895</v>
      </c>
      <c r="T369" s="249" t="n">
        <f aca="false">ABS(90-90*SIGN(COS(T$363)*COS($A369))      -   DEGREES( ATAN(  SQRT(  ( TAN(T$363))^2  +  ( _xlfn.SEC(T$363) * TAN($A369))^2  ))))</f>
        <v>97.4354722261318</v>
      </c>
      <c r="U369" s="249" t="n">
        <f aca="false">ABS(90-90*SIGN(COS(U$363)*COS($A369))      -   DEGREES( ATAN(  SQRT(  ( TAN(U$363))^2  +  ( _xlfn.SEC(U$363) * TAN($A369))^2  ))))</f>
        <v>93.8409657162581</v>
      </c>
      <c r="V369" s="248" t="n">
        <f aca="false">DEGREES( ATAN(  SQRT(  ( TAN(V$363))^2  +  ( _xlfn.SEC(V$363) * TAN($A369))^2  )))</f>
        <v>90</v>
      </c>
      <c r="W369" s="210" t="n">
        <f aca="false">DEGREES( ATAN(  SQRT(  ( TAN(W$363))^2  +  ( _xlfn.SEC(W$363) * TAN($A369))^2  )))</f>
        <v>86.1590342837419</v>
      </c>
      <c r="X369" s="210" t="n">
        <f aca="false">DEGREES( ATAN(  SQRT(  ( TAN(X$363))^2  +  ( _xlfn.SEC(X$363) * TAN($A369))^2  )))</f>
        <v>82.5645277738682</v>
      </c>
      <c r="Y369" s="210" t="n">
        <f aca="false">DEGREES( ATAN(  SQRT(  ( TAN(Y$363))^2  +  ( _xlfn.SEC(Y$363) * TAN($A369))^2  )))</f>
        <v>79.4547094105005</v>
      </c>
      <c r="Z369" s="210" t="n">
        <f aca="false">DEGREES( ATAN(  SQRT(  ( TAN(Z$363))^2  +  ( _xlfn.SEC(Z$363) * TAN($A369))^2  )))</f>
        <v>77.0474603577776</v>
      </c>
      <c r="AA369" s="210" t="n">
        <f aca="false">DEGREES( ATAN(  SQRT(  ( TAN(AA$363))^2  +  ( _xlfn.SEC(AA$363) * TAN($A369))^2  )))</f>
        <v>75.5224878140701</v>
      </c>
      <c r="AB369" s="248" t="n">
        <f aca="false">DEGREES( ATAN(  SQRT(  ( TAN(AB$363))^2  +  ( _xlfn.SEC(AB$363) * TAN($A369))^2  )))</f>
        <v>75.0000002338298</v>
      </c>
      <c r="AC369" s="195" t="n">
        <f aca="false">DEGREES( ATAN(  SQRT(  ( TAN(AC$363))^2  +  ( _xlfn.SEC(AC$363) * TAN($A369))^2  )))</f>
        <v>75</v>
      </c>
      <c r="AD369" s="195" t="n">
        <f aca="false">DEGREES( ATAN(  SQRT(  ( TAN(AD$363))^2  +  ( _xlfn.SEC(AD$363) * TAN($A369))^2  )))</f>
        <v>75</v>
      </c>
      <c r="AE369" s="1"/>
      <c r="AF369" s="1"/>
      <c r="AG369" s="1"/>
      <c r="AH369" s="1"/>
      <c r="AI369" s="1"/>
      <c r="AJ369" s="1"/>
      <c r="AK369" s="1"/>
      <c r="AL369" s="1"/>
    </row>
    <row r="370" customFormat="false" ht="12.75" hidden="false" customHeight="true" outlineLevel="0" collapsed="false">
      <c r="A370" s="192" t="n">
        <f aca="false">RADIANS(MOD(B370-180,-360)+180)</f>
        <v>1.5707963267949</v>
      </c>
      <c r="B370" s="182" t="n">
        <v>90</v>
      </c>
      <c r="C370" s="1"/>
      <c r="D370" s="248" t="n">
        <f aca="false">DEGREES( ATAN(  SQRT(  ( TAN(D$363))^2  +  ( _xlfn.SEC(D$363) * TAN($A370))^2  )))</f>
        <v>90</v>
      </c>
      <c r="E370" s="248" t="n">
        <f aca="false">DEGREES( ATAN(  SQRT(  ( TAN(E$363))^2  +  ( _xlfn.SEC(E$363) * TAN($A370))^2  )))</f>
        <v>90</v>
      </c>
      <c r="F370" s="248" t="n">
        <f aca="false">DEGREES( ATAN(  SQRT(  ( TAN(F$363))^2  +  ( _xlfn.SEC(F$363) * TAN($A370))^2  )))</f>
        <v>90</v>
      </c>
      <c r="G370" s="248" t="n">
        <f aca="false">DEGREES( ATAN(  SQRT(  ( TAN(G$363))^2  +  ( _xlfn.SEC(G$363) * TAN($A370))^2  )))</f>
        <v>90</v>
      </c>
      <c r="H370" s="248" t="n">
        <f aca="false">DEGREES( ATAN(  SQRT(  ( TAN(H$363))^2  +  ( _xlfn.SEC(H$363) * TAN($A370))^2  )))</f>
        <v>90</v>
      </c>
      <c r="I370" s="248" t="n">
        <f aca="false">DEGREES( ATAN(  SQRT(  ( TAN(I$363))^2  +  ( _xlfn.SEC(I$363) * TAN($A370))^2  )))</f>
        <v>90</v>
      </c>
      <c r="J370" s="248" t="n">
        <f aca="false">DEGREES( ATAN(  SQRT(  ( TAN(J$363))^2  +  ( _xlfn.SEC(J$363) * TAN($A370))^2  )))</f>
        <v>90</v>
      </c>
      <c r="K370" s="248" t="n">
        <f aca="false">DEGREES( ATAN(  SQRT(  ( TAN(K$363))^2  +  ( _xlfn.SEC(K$363) * TAN($A370))^2  )))</f>
        <v>90</v>
      </c>
      <c r="L370" s="248" t="n">
        <f aca="false">DEGREES( ATAN(  SQRT(  ( TAN(L$363))^2  +  ( _xlfn.SEC(L$363) * TAN($A370))^2  )))</f>
        <v>90</v>
      </c>
      <c r="M370" s="248" t="n">
        <f aca="false">DEGREES( ATAN(  SQRT(  ( TAN(M$363))^2  +  ( _xlfn.SEC(M$363) * TAN($A370))^2  )))</f>
        <v>90</v>
      </c>
      <c r="N370" s="248" t="n">
        <f aca="false">DEGREES( ATAN(  SQRT(  ( TAN(N$363))^2  +  ( _xlfn.SEC(N$363) * TAN($A370))^2  )))</f>
        <v>90</v>
      </c>
      <c r="O370" s="248" t="n">
        <f aca="false">DEGREES( ATAN(  SQRT(  ( TAN(O$363))^2  +  ( _xlfn.SEC(O$363) * TAN($A370))^2  )))</f>
        <v>90</v>
      </c>
      <c r="P370" s="248" t="n">
        <f aca="false">DEGREES( ATAN(  SQRT(  ( TAN(P$363))^2  +  ( _xlfn.SEC(P$363) * TAN($A370))^2  )))</f>
        <v>90</v>
      </c>
      <c r="Q370" s="248" t="n">
        <f aca="false">DEGREES( ATAN(  SQRT(  ( TAN(Q$363))^2  +  ( _xlfn.SEC(Q$363) * TAN($A370))^2  )))</f>
        <v>90</v>
      </c>
      <c r="R370" s="248" t="n">
        <f aca="false">DEGREES( ATAN(  SQRT(  ( TAN(R$363))^2  +  ( _xlfn.SEC(R$363) * TAN($A370))^2  )))</f>
        <v>90</v>
      </c>
      <c r="S370" s="248" t="n">
        <f aca="false">DEGREES( ATAN(  SQRT(  ( TAN(S$363))^2  +  ( _xlfn.SEC(S$363) * TAN($A370))^2  )))</f>
        <v>90</v>
      </c>
      <c r="T370" s="248" t="n">
        <f aca="false">DEGREES( ATAN(  SQRT(  ( TAN(T$363))^2  +  ( _xlfn.SEC(T$363) * TAN($A370))^2  )))</f>
        <v>90</v>
      </c>
      <c r="U370" s="248" t="n">
        <f aca="false">DEGREES( ATAN(  SQRT(  ( TAN(U$363))^2  +  ( _xlfn.SEC(U$363) * TAN($A370))^2  )))</f>
        <v>90</v>
      </c>
      <c r="V370" s="248" t="n">
        <f aca="false">DEGREES( ATAN(  SQRT(  ( TAN(V$363))^2  +  ( _xlfn.SEC(V$363) * TAN($A370))^2  )))</f>
        <v>90</v>
      </c>
      <c r="W370" s="248" t="n">
        <f aca="false">DEGREES( ATAN(  SQRT(  ( TAN(W$363))^2  +  ( _xlfn.SEC(W$363) * TAN($A370))^2  )))</f>
        <v>90</v>
      </c>
      <c r="X370" s="248" t="n">
        <f aca="false">DEGREES( ATAN(  SQRT(  ( TAN(X$363))^2  +  ( _xlfn.SEC(X$363) * TAN($A370))^2  )))</f>
        <v>90</v>
      </c>
      <c r="Y370" s="248" t="n">
        <f aca="false">DEGREES( ATAN(  SQRT(  ( TAN(Y$363))^2  +  ( _xlfn.SEC(Y$363) * TAN($A370))^2  )))</f>
        <v>90</v>
      </c>
      <c r="Z370" s="248" t="n">
        <f aca="false">DEGREES( ATAN(  SQRT(  ( TAN(Z$363))^2  +  ( _xlfn.SEC(Z$363) * TAN($A370))^2  )))</f>
        <v>90</v>
      </c>
      <c r="AA370" s="248" t="n">
        <f aca="false">DEGREES( ATAN(  SQRT(  ( TAN(AA$363))^2  +  ( _xlfn.SEC(AA$363) * TAN($A370))^2  )))</f>
        <v>90</v>
      </c>
      <c r="AB370" s="248" t="n">
        <f aca="false">DEGREES( ATAN(  SQRT(  ( TAN(AB$363))^2  +  ( _xlfn.SEC(AB$363) * TAN($A370))^2  )))</f>
        <v>90</v>
      </c>
      <c r="AC370" s="195" t="n">
        <f aca="false">DEGREES( ATAN(  SQRT(  ( TAN(AC$363))^2  +  ( _xlfn.SEC(AC$363) * TAN($A370))^2  )))</f>
        <v>90</v>
      </c>
      <c r="AD370" s="195" t="n">
        <f aca="false">DEGREES( ATAN(  SQRT(  ( TAN(AD$363))^2  +  ( _xlfn.SEC(AD$363) * TAN($A370))^2  )))</f>
        <v>90</v>
      </c>
      <c r="AE370" s="1"/>
      <c r="AF370" s="1"/>
      <c r="AG370" s="1"/>
      <c r="AH370" s="1"/>
      <c r="AI370" s="1"/>
      <c r="AJ370" s="1"/>
      <c r="AK370" s="1"/>
      <c r="AL370" s="1"/>
    </row>
    <row r="371" customFormat="false" ht="12.75" hidden="false" customHeight="true" outlineLevel="0" collapsed="false">
      <c r="A371" s="192" t="n">
        <f aca="false">RADIANS(MOD(B371-180,-360)+180)</f>
        <v>1.83259571459405</v>
      </c>
      <c r="B371" s="182" t="n">
        <v>105</v>
      </c>
      <c r="C371" s="1"/>
      <c r="D371" s="248" t="n">
        <f aca="false">ABS(90-90*SIGN(COS(D$363)*COS($A371))      -   DEGREES( ATAN(  SQRT(  ( TAN(D$363))^2  +  ( _xlfn.SEC(D$363) * TAN($A371))^2  ))))</f>
        <v>104.999999997662</v>
      </c>
      <c r="E371" s="249" t="n">
        <f aca="false">ABS(90-90*SIGN(COS(E$363)*COS($A371))      -   DEGREES( ATAN(  SQRT(  ( TAN(E$363))^2  +  ( _xlfn.SEC(E$363) * TAN($A371))^2  ))))</f>
        <v>104.47751218593</v>
      </c>
      <c r="F371" s="249" t="n">
        <f aca="false">ABS(90-90*SIGN(COS(F$363)*COS($A371))      -   DEGREES( ATAN(  SQRT(  ( TAN(F$363))^2  +  ( _xlfn.SEC(F$363) * TAN($A371))^2  ))))</f>
        <v>102.952539642222</v>
      </c>
      <c r="G371" s="249" t="n">
        <f aca="false">ABS(90-90*SIGN(COS(G$363)*COS($A371))      -   DEGREES( ATAN(  SQRT(  ( TAN(G$363))^2  +  ( _xlfn.SEC(G$363) * TAN($A371))^2  ))))</f>
        <v>100.5452905895</v>
      </c>
      <c r="H371" s="249" t="n">
        <f aca="false">ABS(90-90*SIGN(COS(H$363)*COS($A371))      -   DEGREES( ATAN(  SQRT(  ( TAN(H$363))^2  +  ( _xlfn.SEC(H$363) * TAN($A371))^2  ))))</f>
        <v>97.4354722261318</v>
      </c>
      <c r="I371" s="249" t="n">
        <f aca="false">ABS(90-90*SIGN(COS(I$363)*COS($A371))      -   DEGREES( ATAN(  SQRT(  ( TAN(I$363))^2  +  ( _xlfn.SEC(I$363) * TAN($A371))^2  ))))</f>
        <v>93.8409657162581</v>
      </c>
      <c r="J371" s="248" t="n">
        <f aca="false">DEGREES( ATAN(  SQRT(  ( TAN(J$363))^2  +  ( _xlfn.SEC(J$363) * TAN($A371))^2  )))</f>
        <v>90</v>
      </c>
      <c r="K371" s="210" t="n">
        <f aca="false">DEGREES( ATAN(  SQRT(  ( TAN(K$363))^2  +  ( _xlfn.SEC(K$363) * TAN($A371))^2  )))</f>
        <v>86.1590342837419</v>
      </c>
      <c r="L371" s="210" t="n">
        <f aca="false">DEGREES( ATAN(  SQRT(  ( TAN(L$363))^2  +  ( _xlfn.SEC(L$363) * TAN($A371))^2  )))</f>
        <v>82.5645277738682</v>
      </c>
      <c r="M371" s="210" t="n">
        <f aca="false">DEGREES( ATAN(  SQRT(  ( TAN(M$363))^2  +  ( _xlfn.SEC(M$363) * TAN($A371))^2  )))</f>
        <v>79.4547094105004</v>
      </c>
      <c r="N371" s="210" t="n">
        <f aca="false">DEGREES( ATAN(  SQRT(  ( TAN(N$363))^2  +  ( _xlfn.SEC(N$363) * TAN($A371))^2  )))</f>
        <v>77.0474603577776</v>
      </c>
      <c r="O371" s="210" t="n">
        <f aca="false">DEGREES( ATAN(  SQRT(  ( TAN(O$363))^2  +  ( _xlfn.SEC(O$363) * TAN($A371))^2  )))</f>
        <v>75.5224878140701</v>
      </c>
      <c r="P371" s="248" t="n">
        <f aca="false">DEGREES( ATAN(  SQRT(  ( TAN(P$363))^2  +  ( _xlfn.SEC(P$363) * TAN($A371))^2  )))</f>
        <v>75</v>
      </c>
      <c r="Q371" s="210" t="n">
        <f aca="false">DEGREES( ATAN(  SQRT(  ( TAN(Q$363))^2  +  ( _xlfn.SEC(Q$363) * TAN($A371))^2  )))</f>
        <v>75.5224878140701</v>
      </c>
      <c r="R371" s="210" t="n">
        <f aca="false">DEGREES( ATAN(  SQRT(  ( TAN(R$363))^2  +  ( _xlfn.SEC(R$363) * TAN($A371))^2  )))</f>
        <v>77.0474603577776</v>
      </c>
      <c r="S371" s="210" t="n">
        <f aca="false">DEGREES( ATAN(  SQRT(  ( TAN(S$363))^2  +  ( _xlfn.SEC(S$363) * TAN($A371))^2  )))</f>
        <v>79.4547094105004</v>
      </c>
      <c r="T371" s="210" t="n">
        <f aca="false">DEGREES( ATAN(  SQRT(  ( TAN(T$363))^2  +  ( _xlfn.SEC(T$363) * TAN($A371))^2  )))</f>
        <v>82.5645277738682</v>
      </c>
      <c r="U371" s="210" t="n">
        <f aca="false">DEGREES( ATAN(  SQRT(  ( TAN(U$363))^2  +  ( _xlfn.SEC(U$363) * TAN($A371))^2  )))</f>
        <v>86.1590342837419</v>
      </c>
      <c r="V371" s="248" t="n">
        <f aca="false">DEGREES( ATAN(  SQRT(  ( TAN(V$363))^2  +  ( _xlfn.SEC(V$363) * TAN($A371))^2  )))</f>
        <v>90</v>
      </c>
      <c r="W371" s="249" t="n">
        <f aca="false">ABS(90-90*SIGN(COS(W$363)*COS($A371))      -   DEGREES( ATAN(  SQRT(  ( TAN(W$363))^2  +  ( _xlfn.SEC(W$363) * TAN($A371))^2  ))))</f>
        <v>93.8409657162581</v>
      </c>
      <c r="X371" s="249" t="n">
        <f aca="false">ABS(90-90*SIGN(COS(X$363)*COS($A371))      -   DEGREES( ATAN(  SQRT(  ( TAN(X$363))^2  +  ( _xlfn.SEC(X$363) * TAN($A371))^2  ))))</f>
        <v>97.4354722261318</v>
      </c>
      <c r="Y371" s="249" t="n">
        <f aca="false">ABS(90-90*SIGN(COS(Y$363)*COS($A371))      -   DEGREES( ATAN(  SQRT(  ( TAN(Y$363))^2  +  ( _xlfn.SEC(Y$363) * TAN($A371))^2  ))))</f>
        <v>100.5452905895</v>
      </c>
      <c r="Z371" s="249" t="n">
        <f aca="false">ABS(90-90*SIGN(COS(Z$363)*COS($A371))      -   DEGREES( ATAN(  SQRT(  ( TAN(Z$363))^2  +  ( _xlfn.SEC(Z$363) * TAN($A371))^2  ))))</f>
        <v>102.952539642222</v>
      </c>
      <c r="AA371" s="249" t="n">
        <f aca="false">ABS(90-90*SIGN(COS(AA$363)*COS($A371))      -   DEGREES( ATAN(  SQRT(  ( TAN(AA$363))^2  +  ( _xlfn.SEC(AA$363) * TAN($A371))^2  ))))</f>
        <v>104.47751218593</v>
      </c>
      <c r="AB371" s="248" t="n">
        <f aca="false">ABS(90-90*SIGN(COS(AB$363)*COS($A371))      -   DEGREES( ATAN(  SQRT(  ( TAN(AB$363))^2  +  ( _xlfn.SEC(AB$363) * TAN($A371))^2  ))))</f>
        <v>104.99999976617</v>
      </c>
      <c r="AC371" s="195" t="n">
        <f aca="false">DEGREES( ATAN(  SQRT(  ( TAN(AC$363))^2  +  ( _xlfn.SEC(AC$363) * TAN($A371))^2  )))</f>
        <v>75</v>
      </c>
      <c r="AD371" s="195" t="n">
        <f aca="false">DEGREES( ATAN(  SQRT(  ( TAN(AD$363))^2  +  ( _xlfn.SEC(AD$363) * TAN($A371))^2  )))</f>
        <v>75</v>
      </c>
      <c r="AE371" s="1"/>
      <c r="AF371" s="1"/>
      <c r="AG371" s="1"/>
      <c r="AH371" s="1"/>
      <c r="AI371" s="1"/>
      <c r="AJ371" s="1"/>
      <c r="AK371" s="1"/>
      <c r="AL371" s="1"/>
    </row>
    <row r="372" customFormat="false" ht="12.75" hidden="false" customHeight="true" outlineLevel="0" collapsed="false">
      <c r="A372" s="192" t="n">
        <f aca="false">RADIANS(MOD(B372-180,-360)+180)</f>
        <v>2.0943951023932</v>
      </c>
      <c r="B372" s="182" t="n">
        <v>120</v>
      </c>
      <c r="C372" s="1"/>
      <c r="D372" s="248" t="n">
        <f aca="false">ABS(90-90*SIGN(COS(D$363)*COS($A372))      -   DEGREES( ATAN(  SQRT(  ( TAN(D$363))^2  +  ( _xlfn.SEC(D$363) * TAN($A372))^2  ))))</f>
        <v>119.999999994962</v>
      </c>
      <c r="E372" s="249" t="n">
        <f aca="false">ABS(90-90*SIGN(COS(E$363)*COS($A372))      -   DEGREES( ATAN(  SQRT(  ( TAN(E$363))^2  +  ( _xlfn.SEC(E$363) * TAN($A372))^2  ))))</f>
        <v>118.879094017428</v>
      </c>
      <c r="F372" s="249" t="n">
        <f aca="false">ABS(90-90*SIGN(COS(F$363)*COS($A372))      -   DEGREES( ATAN(  SQRT(  ( TAN(F$363))^2  +  ( _xlfn.SEC(F$363) * TAN($A372))^2  ))))</f>
        <v>115.658906273255</v>
      </c>
      <c r="G372" s="249" t="n">
        <f aca="false">ABS(90-90*SIGN(COS(G$363)*COS($A372))      -   DEGREES( ATAN(  SQRT(  ( TAN(G$363))^2  +  ( _xlfn.SEC(G$363) * TAN($A372))^2  ))))</f>
        <v>110.704811054635</v>
      </c>
      <c r="H372" s="249" t="n">
        <f aca="false">ABS(90-90*SIGN(COS(H$363)*COS($A372))      -   DEGREES( ATAN(  SQRT(  ( TAN(H$363))^2  +  ( _xlfn.SEC(H$363) * TAN($A372))^2  ))))</f>
        <v>104.47751218593</v>
      </c>
      <c r="I372" s="249" t="n">
        <f aca="false">ABS(90-90*SIGN(COS(I$363)*COS($A372))      -   DEGREES( ATAN(  SQRT(  ( TAN(I$363))^2  +  ( _xlfn.SEC(I$363) * TAN($A372))^2  ))))</f>
        <v>97.4354722261318</v>
      </c>
      <c r="J372" s="248" t="n">
        <f aca="false">DEGREES( ATAN(  SQRT(  ( TAN(J$363))^2  +  ( _xlfn.SEC(J$363) * TAN($A372))^2  )))</f>
        <v>90</v>
      </c>
      <c r="K372" s="210" t="n">
        <f aca="false">DEGREES( ATAN(  SQRT(  ( TAN(K$363))^2  +  ( _xlfn.SEC(K$363) * TAN($A372))^2  )))</f>
        <v>82.5645277738682</v>
      </c>
      <c r="L372" s="210" t="n">
        <f aca="false">DEGREES( ATAN(  SQRT(  ( TAN(L$363))^2  +  ( _xlfn.SEC(L$363) * TAN($A372))^2  )))</f>
        <v>75.5224878140701</v>
      </c>
      <c r="M372" s="210" t="n">
        <f aca="false">DEGREES( ATAN(  SQRT(  ( TAN(M$363))^2  +  ( _xlfn.SEC(M$363) * TAN($A372))^2  )))</f>
        <v>69.2951889453646</v>
      </c>
      <c r="N372" s="210" t="n">
        <f aca="false">DEGREES( ATAN(  SQRT(  ( TAN(N$363))^2  +  ( _xlfn.SEC(N$363) * TAN($A372))^2  )))</f>
        <v>64.3410937267447</v>
      </c>
      <c r="O372" s="210" t="n">
        <f aca="false">DEGREES( ATAN(  SQRT(  ( TAN(O$363))^2  +  ( _xlfn.SEC(O$363) * TAN($A372))^2  )))</f>
        <v>61.1209059825724</v>
      </c>
      <c r="P372" s="248" t="n">
        <f aca="false">DEGREES( ATAN(  SQRT(  ( TAN(P$363))^2  +  ( _xlfn.SEC(P$363) * TAN($A372))^2  )))</f>
        <v>60</v>
      </c>
      <c r="Q372" s="210" t="n">
        <f aca="false">DEGREES( ATAN(  SQRT(  ( TAN(Q$363))^2  +  ( _xlfn.SEC(Q$363) * TAN($A372))^2  )))</f>
        <v>61.1209059825724</v>
      </c>
      <c r="R372" s="210" t="n">
        <f aca="false">DEGREES( ATAN(  SQRT(  ( TAN(R$363))^2  +  ( _xlfn.SEC(R$363) * TAN($A372))^2  )))</f>
        <v>64.3410937267447</v>
      </c>
      <c r="S372" s="210" t="n">
        <f aca="false">DEGREES( ATAN(  SQRT(  ( TAN(S$363))^2  +  ( _xlfn.SEC(S$363) * TAN($A372))^2  )))</f>
        <v>69.2951889453646</v>
      </c>
      <c r="T372" s="210" t="n">
        <f aca="false">DEGREES( ATAN(  SQRT(  ( TAN(T$363))^2  +  ( _xlfn.SEC(T$363) * TAN($A372))^2  )))</f>
        <v>75.5224878140701</v>
      </c>
      <c r="U372" s="210" t="n">
        <f aca="false">DEGREES( ATAN(  SQRT(  ( TAN(U$363))^2  +  ( _xlfn.SEC(U$363) * TAN($A372))^2  )))</f>
        <v>82.5645277738682</v>
      </c>
      <c r="V372" s="248" t="n">
        <f aca="false">DEGREES( ATAN(  SQRT(  ( TAN(V$363))^2  +  ( _xlfn.SEC(V$363) * TAN($A372))^2  )))</f>
        <v>90</v>
      </c>
      <c r="W372" s="249" t="n">
        <f aca="false">ABS(90-90*SIGN(COS(W$363)*COS($A372))      -   DEGREES( ATAN(  SQRT(  ( TAN(W$363))^2  +  ( _xlfn.SEC(W$363) * TAN($A372))^2  ))))</f>
        <v>97.4354722261318</v>
      </c>
      <c r="X372" s="249" t="n">
        <f aca="false">ABS(90-90*SIGN(COS(X$363)*COS($A372))      -   DEGREES( ATAN(  SQRT(  ( TAN(X$363))^2  +  ( _xlfn.SEC(X$363) * TAN($A372))^2  ))))</f>
        <v>104.47751218593</v>
      </c>
      <c r="Y372" s="249" t="n">
        <f aca="false">ABS(90-90*SIGN(COS(Y$363)*COS($A372))      -   DEGREES( ATAN(  SQRT(  ( TAN(Y$363))^2  +  ( _xlfn.SEC(Y$363) * TAN($A372))^2  ))))</f>
        <v>110.704811054635</v>
      </c>
      <c r="Z372" s="249" t="n">
        <f aca="false">ABS(90-90*SIGN(COS(Z$363)*COS($A372))      -   DEGREES( ATAN(  SQRT(  ( TAN(Z$363))^2  +  ( _xlfn.SEC(Z$363) * TAN($A372))^2  ))))</f>
        <v>115.658906273255</v>
      </c>
      <c r="AA372" s="249" t="n">
        <f aca="false">ABS(90-90*SIGN(COS(AA$363)*COS($A372))      -   DEGREES( ATAN(  SQRT(  ( TAN(AA$363))^2  +  ( _xlfn.SEC(AA$363) * TAN($A372))^2  ))))</f>
        <v>118.879094017428</v>
      </c>
      <c r="AB372" s="248" t="n">
        <f aca="false">ABS(90-90*SIGN(COS(AB$363)*COS($A372))      -   DEGREES( ATAN(  SQRT(  ( TAN(AB$363))^2  +  ( _xlfn.SEC(AB$363) * TAN($A372))^2  ))))</f>
        <v>119.999999496167</v>
      </c>
      <c r="AC372" s="195" t="n">
        <f aca="false">DEGREES( ATAN(  SQRT(  ( TAN(AC$363))^2  +  ( _xlfn.SEC(AC$363) * TAN($A372))^2  )))</f>
        <v>60</v>
      </c>
      <c r="AD372" s="195" t="n">
        <f aca="false">DEGREES( ATAN(  SQRT(  ( TAN(AD$363))^2  +  ( _xlfn.SEC(AD$363) * TAN($A372))^2  )))</f>
        <v>60</v>
      </c>
      <c r="AE372" s="1"/>
      <c r="AF372" s="1"/>
      <c r="AG372" s="1"/>
      <c r="AH372" s="1"/>
      <c r="AI372" s="1"/>
      <c r="AJ372" s="1"/>
      <c r="AK372" s="1"/>
      <c r="AL372" s="1"/>
    </row>
    <row r="373" customFormat="false" ht="12.75" hidden="false" customHeight="true" outlineLevel="0" collapsed="false">
      <c r="A373" s="192" t="n">
        <f aca="false">RADIANS(MOD(B373-180,-360)+180)</f>
        <v>2.35619449019234</v>
      </c>
      <c r="B373" s="182" t="n">
        <v>135</v>
      </c>
      <c r="C373" s="1"/>
      <c r="D373" s="248" t="n">
        <f aca="false">ABS(90-90*SIGN(COS(D$363)*COS($A373))      -   DEGREES( ATAN(  SQRT(  ( TAN(D$363))^2  +  ( _xlfn.SEC(D$363) * TAN($A373))^2  ))))</f>
        <v>134.999999991273</v>
      </c>
      <c r="E373" s="249" t="n">
        <f aca="false">ABS(90-90*SIGN(COS(E$363)*COS($A373))      -   DEGREES( ATAN(  SQRT(  ( TAN(E$363))^2  +  ( _xlfn.SEC(E$363) * TAN($A373))^2  ))))</f>
        <v>133.079517141871</v>
      </c>
      <c r="F373" s="249" t="n">
        <f aca="false">ABS(90-90*SIGN(COS(F$363)*COS($A373))      -   DEGREES( ATAN(  SQRT(  ( TAN(F$363))^2  +  ( _xlfn.SEC(F$363) * TAN($A373))^2  ))))</f>
        <v>127.761243907035</v>
      </c>
      <c r="G373" s="249" t="n">
        <f aca="false">ABS(90-90*SIGN(COS(G$363)*COS($A373))      -   DEGREES( ATAN(  SQRT(  ( TAN(G$363))^2  +  ( _xlfn.SEC(G$363) * TAN($A373))^2  ))))</f>
        <v>120</v>
      </c>
      <c r="H373" s="249" t="n">
        <f aca="false">ABS(90-90*SIGN(COS(H$363)*COS($A373))      -   DEGREES( ATAN(  SQRT(  ( TAN(H$363))^2  +  ( _xlfn.SEC(H$363) * TAN($A373))^2  ))))</f>
        <v>110.704811054635</v>
      </c>
      <c r="I373" s="249" t="n">
        <f aca="false">ABS(90-90*SIGN(COS(I$363)*COS($A373))      -   DEGREES( ATAN(  SQRT(  ( TAN(I$363))^2  +  ( _xlfn.SEC(I$363) * TAN($A373))^2  ))))</f>
        <v>100.5452905895</v>
      </c>
      <c r="J373" s="248" t="n">
        <f aca="false">DEGREES( ATAN(  SQRT(  ( TAN(J$363))^2  +  ( _xlfn.SEC(J$363) * TAN($A373))^2  )))</f>
        <v>90</v>
      </c>
      <c r="K373" s="210" t="n">
        <f aca="false">DEGREES( ATAN(  SQRT(  ( TAN(K$363))^2  +  ( _xlfn.SEC(K$363) * TAN($A373))^2  )))</f>
        <v>79.4547094105004</v>
      </c>
      <c r="L373" s="210" t="n">
        <f aca="false">DEGREES( ATAN(  SQRT(  ( TAN(L$363))^2  +  ( _xlfn.SEC(L$363) * TAN($A373))^2  )))</f>
        <v>69.2951889453646</v>
      </c>
      <c r="M373" s="210" t="n">
        <f aca="false">DEGREES( ATAN(  SQRT(  ( TAN(M$363))^2  +  ( _xlfn.SEC(M$363) * TAN($A373))^2  )))</f>
        <v>60</v>
      </c>
      <c r="N373" s="210" t="n">
        <f aca="false">DEGREES( ATAN(  SQRT(  ( TAN(N$363))^2  +  ( _xlfn.SEC(N$363) * TAN($A373))^2  )))</f>
        <v>52.238756092965</v>
      </c>
      <c r="O373" s="210" t="n">
        <f aca="false">DEGREES( ATAN(  SQRT(  ( TAN(O$363))^2  +  ( _xlfn.SEC(O$363) * TAN($A373))^2  )))</f>
        <v>46.9204828581291</v>
      </c>
      <c r="P373" s="248" t="n">
        <f aca="false">DEGREES( ATAN(  SQRT(  ( TAN(P$363))^2  +  ( _xlfn.SEC(P$363) * TAN($A373))^2  )))</f>
        <v>45</v>
      </c>
      <c r="Q373" s="210" t="n">
        <f aca="false">DEGREES( ATAN(  SQRT(  ( TAN(Q$363))^2  +  ( _xlfn.SEC(Q$363) * TAN($A373))^2  )))</f>
        <v>46.9204828581291</v>
      </c>
      <c r="R373" s="210" t="n">
        <f aca="false">DEGREES( ATAN(  SQRT(  ( TAN(R$363))^2  +  ( _xlfn.SEC(R$363) * TAN($A373))^2  )))</f>
        <v>52.238756092965</v>
      </c>
      <c r="S373" s="210" t="n">
        <f aca="false">DEGREES( ATAN(  SQRT(  ( TAN(S$363))^2  +  ( _xlfn.SEC(S$363) * TAN($A373))^2  )))</f>
        <v>60</v>
      </c>
      <c r="T373" s="210" t="n">
        <f aca="false">DEGREES( ATAN(  SQRT(  ( TAN(T$363))^2  +  ( _xlfn.SEC(T$363) * TAN($A373))^2  )))</f>
        <v>69.2951889453646</v>
      </c>
      <c r="U373" s="210" t="n">
        <f aca="false">DEGREES( ATAN(  SQRT(  ( TAN(U$363))^2  +  ( _xlfn.SEC(U$363) * TAN($A373))^2  )))</f>
        <v>79.4547094105004</v>
      </c>
      <c r="V373" s="248" t="n">
        <f aca="false">DEGREES( ATAN(  SQRT(  ( TAN(V$363))^2  +  ( _xlfn.SEC(V$363) * TAN($A373))^2  )))</f>
        <v>90</v>
      </c>
      <c r="W373" s="249" t="n">
        <f aca="false">ABS(90-90*SIGN(COS(W$363)*COS($A373))      -   DEGREES( ATAN(  SQRT(  ( TAN(W$363))^2  +  ( _xlfn.SEC(W$363) * TAN($A373))^2  ))))</f>
        <v>100.5452905895</v>
      </c>
      <c r="X373" s="249" t="n">
        <f aca="false">ABS(90-90*SIGN(COS(X$363)*COS($A373))      -   DEGREES( ATAN(  SQRT(  ( TAN(X$363))^2  +  ( _xlfn.SEC(X$363) * TAN($A373))^2  ))))</f>
        <v>110.704811054635</v>
      </c>
      <c r="Y373" s="249" t="n">
        <f aca="false">ABS(90-90*SIGN(COS(Y$363)*COS($A373))      -   DEGREES( ATAN(  SQRT(  ( TAN(Y$363))^2  +  ( _xlfn.SEC(Y$363) * TAN($A373))^2  ))))</f>
        <v>120</v>
      </c>
      <c r="Z373" s="249" t="n">
        <f aca="false">ABS(90-90*SIGN(COS(Z$363)*COS($A373))      -   DEGREES( ATAN(  SQRT(  ( TAN(Z$363))^2  +  ( _xlfn.SEC(Z$363) * TAN($A373))^2  ))))</f>
        <v>127.761243907035</v>
      </c>
      <c r="AA373" s="249" t="n">
        <f aca="false">ABS(90-90*SIGN(COS(AA$363)*COS($A373))      -   DEGREES( ATAN(  SQRT(  ( TAN(AA$363))^2  +  ( _xlfn.SEC(AA$363) * TAN($A373))^2  ))))</f>
        <v>133.079517141871</v>
      </c>
      <c r="AB373" s="248" t="n">
        <f aca="false">ABS(90-90*SIGN(COS(AB$363)*COS($A373))      -   DEGREES( ATAN(  SQRT(  ( TAN(AB$363))^2  +  ( _xlfn.SEC(AB$363) * TAN($A373))^2  ))))</f>
        <v>134.999999127335</v>
      </c>
      <c r="AC373" s="195" t="n">
        <f aca="false">DEGREES( ATAN(  SQRT(  ( TAN(AC$363))^2  +  ( _xlfn.SEC(AC$363) * TAN($A373))^2  )))</f>
        <v>45</v>
      </c>
      <c r="AD373" s="195" t="n">
        <f aca="false">DEGREES( ATAN(  SQRT(  ( TAN(AD$363))^2  +  ( _xlfn.SEC(AD$363) * TAN($A373))^2  )))</f>
        <v>45</v>
      </c>
      <c r="AE373" s="1"/>
      <c r="AF373" s="1"/>
      <c r="AG373" s="1"/>
      <c r="AH373" s="1"/>
      <c r="AI373" s="1"/>
      <c r="AJ373" s="1"/>
      <c r="AK373" s="1"/>
      <c r="AL373" s="1"/>
    </row>
    <row r="374" customFormat="false" ht="12.75" hidden="false" customHeight="true" outlineLevel="0" collapsed="false">
      <c r="A374" s="192" t="n">
        <f aca="false">RADIANS(MOD(B374-180,-360)+180)</f>
        <v>2.61799387799149</v>
      </c>
      <c r="B374" s="182" t="n">
        <v>150</v>
      </c>
      <c r="C374" s="1"/>
      <c r="D374" s="248" t="n">
        <f aca="false">ABS(90-90*SIGN(COS(D$363)*COS($A374))      -   DEGREES( ATAN(  SQRT(  ( TAN(D$363))^2  +  ( _xlfn.SEC(D$363) * TAN($A374))^2  ))))</f>
        <v>149.999999984885</v>
      </c>
      <c r="E374" s="249" t="n">
        <f aca="false">ABS(90-90*SIGN(COS(E$363)*COS($A374))      -   DEGREES( ATAN(  SQRT(  ( TAN(E$363))^2  +  ( _xlfn.SEC(E$363) * TAN($A374))^2  ))))</f>
        <v>146.774057796712</v>
      </c>
      <c r="F374" s="249" t="n">
        <f aca="false">ABS(90-90*SIGN(COS(F$363)*COS($A374))      -   DEGREES( ATAN(  SQRT(  ( TAN(F$363))^2  +  ( _xlfn.SEC(F$363) * TAN($A374))^2  ))))</f>
        <v>138.590377890729</v>
      </c>
      <c r="G374" s="249" t="n">
        <f aca="false">ABS(90-90*SIGN(COS(G$363)*COS($A374))      -   DEGREES( ATAN(  SQRT(  ( TAN(G$363))^2  +  ( _xlfn.SEC(G$363) * TAN($A374))^2  ))))</f>
        <v>127.761243907035</v>
      </c>
      <c r="H374" s="249" t="n">
        <f aca="false">ABS(90-90*SIGN(COS(H$363)*COS($A374))      -   DEGREES( ATAN(  SQRT(  ( TAN(H$363))^2  +  ( _xlfn.SEC(H$363) * TAN($A374))^2  ))))</f>
        <v>115.658906273255</v>
      </c>
      <c r="I374" s="249" t="n">
        <f aca="false">ABS(90-90*SIGN(COS(I$363)*COS($A374))      -   DEGREES( ATAN(  SQRT(  ( TAN(I$363))^2  +  ( _xlfn.SEC(I$363) * TAN($A374))^2  ))))</f>
        <v>102.952539642222</v>
      </c>
      <c r="J374" s="248" t="n">
        <f aca="false">DEGREES( ATAN(  SQRT(  ( TAN(J$363))^2  +  ( _xlfn.SEC(J$363) * TAN($A374))^2  )))</f>
        <v>90</v>
      </c>
      <c r="K374" s="210" t="n">
        <f aca="false">DEGREES( ATAN(  SQRT(  ( TAN(K$363))^2  +  ( _xlfn.SEC(K$363) * TAN($A374))^2  )))</f>
        <v>77.0474603577776</v>
      </c>
      <c r="L374" s="210" t="n">
        <f aca="false">DEGREES( ATAN(  SQRT(  ( TAN(L$363))^2  +  ( _xlfn.SEC(L$363) * TAN($A374))^2  )))</f>
        <v>64.3410937267447</v>
      </c>
      <c r="M374" s="210" t="n">
        <f aca="false">DEGREES( ATAN(  SQRT(  ( TAN(M$363))^2  +  ( _xlfn.SEC(M$363) * TAN($A374))^2  )))</f>
        <v>52.238756092965</v>
      </c>
      <c r="N374" s="210" t="n">
        <f aca="false">DEGREES( ATAN(  SQRT(  ( TAN(N$363))^2  +  ( _xlfn.SEC(N$363) * TAN($A374))^2  )))</f>
        <v>41.4096221092709</v>
      </c>
      <c r="O374" s="210" t="n">
        <f aca="false">DEGREES( ATAN(  SQRT(  ( TAN(O$363))^2  +  ( _xlfn.SEC(O$363) * TAN($A374))^2  )))</f>
        <v>33.2259422032876</v>
      </c>
      <c r="P374" s="248" t="n">
        <f aca="false">DEGREES( ATAN(  SQRT(  ( TAN(P$363))^2  +  ( _xlfn.SEC(P$363) * TAN($A374))^2  )))</f>
        <v>30</v>
      </c>
      <c r="Q374" s="210" t="n">
        <f aca="false">DEGREES( ATAN(  SQRT(  ( TAN(Q$363))^2  +  ( _xlfn.SEC(Q$363) * TAN($A374))^2  )))</f>
        <v>33.2259422032876</v>
      </c>
      <c r="R374" s="210" t="n">
        <f aca="false">DEGREES( ATAN(  SQRT(  ( TAN(R$363))^2  +  ( _xlfn.SEC(R$363) * TAN($A374))^2  )))</f>
        <v>41.4096221092709</v>
      </c>
      <c r="S374" s="210" t="n">
        <f aca="false">DEGREES( ATAN(  SQRT(  ( TAN(S$363))^2  +  ( _xlfn.SEC(S$363) * TAN($A374))^2  )))</f>
        <v>52.238756092965</v>
      </c>
      <c r="T374" s="210" t="n">
        <f aca="false">DEGREES( ATAN(  SQRT(  ( TAN(T$363))^2  +  ( _xlfn.SEC(T$363) * TAN($A374))^2  )))</f>
        <v>64.3410937267447</v>
      </c>
      <c r="U374" s="210" t="n">
        <f aca="false">DEGREES( ATAN(  SQRT(  ( TAN(U$363))^2  +  ( _xlfn.SEC(U$363) * TAN($A374))^2  )))</f>
        <v>77.0474603577776</v>
      </c>
      <c r="V374" s="248" t="n">
        <f aca="false">DEGREES( ATAN(  SQRT(  ( TAN(V$363))^2  +  ( _xlfn.SEC(V$363) * TAN($A374))^2  )))</f>
        <v>90</v>
      </c>
      <c r="W374" s="249" t="n">
        <f aca="false">ABS(90-90*SIGN(COS(W$363)*COS($A374))      -   DEGREES( ATAN(  SQRT(  ( TAN(W$363))^2  +  ( _xlfn.SEC(W$363) * TAN($A374))^2  ))))</f>
        <v>102.952539642222</v>
      </c>
      <c r="X374" s="249" t="n">
        <f aca="false">ABS(90-90*SIGN(COS(X$363)*COS($A374))      -   DEGREES( ATAN(  SQRT(  ( TAN(X$363))^2  +  ( _xlfn.SEC(X$363) * TAN($A374))^2  ))))</f>
        <v>115.658906273255</v>
      </c>
      <c r="Y374" s="249" t="n">
        <f aca="false">ABS(90-90*SIGN(COS(Y$363)*COS($A374))      -   DEGREES( ATAN(  SQRT(  ( TAN(Y$363))^2  +  ( _xlfn.SEC(Y$363) * TAN($A374))^2  ))))</f>
        <v>127.761243907035</v>
      </c>
      <c r="Z374" s="249" t="n">
        <f aca="false">ABS(90-90*SIGN(COS(Z$363)*COS($A374))      -   DEGREES( ATAN(  SQRT(  ( TAN(Z$363))^2  +  ( _xlfn.SEC(Z$363) * TAN($A374))^2  ))))</f>
        <v>138.590377890729</v>
      </c>
      <c r="AA374" s="249" t="n">
        <f aca="false">ABS(90-90*SIGN(COS(AA$363)*COS($A374))      -   DEGREES( ATAN(  SQRT(  ( TAN(AA$363))^2  +  ( _xlfn.SEC(AA$363) * TAN($A374))^2  ))))</f>
        <v>146.774057796712</v>
      </c>
      <c r="AB374" s="248" t="n">
        <f aca="false">ABS(90-90*SIGN(COS(AB$363)*COS($A374))      -   DEGREES( ATAN(  SQRT(  ( TAN(AB$363))^2  +  ( _xlfn.SEC(AB$363) * TAN($A374))^2  ))))</f>
        <v>149.999998488501</v>
      </c>
      <c r="AC374" s="195" t="n">
        <f aca="false">DEGREES( ATAN(  SQRT(  ( TAN(AC$363))^2  +  ( _xlfn.SEC(AC$363) * TAN($A374))^2  )))</f>
        <v>30</v>
      </c>
      <c r="AD374" s="195" t="n">
        <f aca="false">DEGREES( ATAN(  SQRT(  ( TAN(AD$363))^2  +  ( _xlfn.SEC(AD$363) * TAN($A374))^2  )))</f>
        <v>30</v>
      </c>
      <c r="AE374" s="1"/>
      <c r="AF374" s="1"/>
      <c r="AG374" s="1"/>
      <c r="AH374" s="1"/>
      <c r="AI374" s="1"/>
      <c r="AJ374" s="1"/>
      <c r="AK374" s="1"/>
      <c r="AL374" s="1"/>
    </row>
    <row r="375" customFormat="false" ht="12.75" hidden="false" customHeight="true" outlineLevel="0" collapsed="false">
      <c r="A375" s="192" t="n">
        <f aca="false">RADIANS(MOD(B375-180,-360)+180)</f>
        <v>2.87979326579064</v>
      </c>
      <c r="B375" s="182" t="n">
        <v>165</v>
      </c>
      <c r="C375" s="1"/>
      <c r="D375" s="248" t="n">
        <f aca="false">ABS(90-90*SIGN(COS(D$363)*COS($A375))      -   DEGREES( ATAN(  SQRT(  ( TAN(D$363))^2  +  ( _xlfn.SEC(D$363) * TAN($A375))^2  ))))</f>
        <v>164.999999967432</v>
      </c>
      <c r="E375" s="249" t="n">
        <f aca="false">ABS(90-90*SIGN(COS(E$363)*COS($A375))      -   DEGREES( ATAN(  SQRT(  ( TAN(E$363))^2  +  ( _xlfn.SEC(E$363) * TAN($A375))^2  ))))</f>
        <v>158.909418821001</v>
      </c>
      <c r="F375" s="249" t="n">
        <f aca="false">ABS(90-90*SIGN(COS(F$363)*COS($A375))      -   DEGREES( ATAN(  SQRT(  ( TAN(F$363))^2  +  ( _xlfn.SEC(F$363) * TAN($A375))^2  ))))</f>
        <v>146.774057796712</v>
      </c>
      <c r="G375" s="249" t="n">
        <f aca="false">ABS(90-90*SIGN(COS(G$363)*COS($A375))      -   DEGREES( ATAN(  SQRT(  ( TAN(G$363))^2  +  ( _xlfn.SEC(G$363) * TAN($A375))^2  ))))</f>
        <v>133.079517141871</v>
      </c>
      <c r="H375" s="249" t="n">
        <f aca="false">ABS(90-90*SIGN(COS(H$363)*COS($A375))      -   DEGREES( ATAN(  SQRT(  ( TAN(H$363))^2  +  ( _xlfn.SEC(H$363) * TAN($A375))^2  ))))</f>
        <v>118.879094017428</v>
      </c>
      <c r="I375" s="249" t="n">
        <f aca="false">ABS(90-90*SIGN(COS(I$363)*COS($A375))      -   DEGREES( ATAN(  SQRT(  ( TAN(I$363))^2  +  ( _xlfn.SEC(I$363) * TAN($A375))^2  ))))</f>
        <v>104.47751218593</v>
      </c>
      <c r="J375" s="248" t="n">
        <f aca="false">DEGREES( ATAN(  SQRT(  ( TAN(J$363))^2  +  ( _xlfn.SEC(J$363) * TAN($A375))^2  )))</f>
        <v>90</v>
      </c>
      <c r="K375" s="210" t="n">
        <f aca="false">DEGREES( ATAN(  SQRT(  ( TAN(K$363))^2  +  ( _xlfn.SEC(K$363) * TAN($A375))^2  )))</f>
        <v>75.5224878140701</v>
      </c>
      <c r="L375" s="210" t="n">
        <f aca="false">DEGREES( ATAN(  SQRT(  ( TAN(L$363))^2  +  ( _xlfn.SEC(L$363) * TAN($A375))^2  )))</f>
        <v>61.1209059825724</v>
      </c>
      <c r="M375" s="210" t="n">
        <f aca="false">DEGREES( ATAN(  SQRT(  ( TAN(M$363))^2  +  ( _xlfn.SEC(M$363) * TAN($A375))^2  )))</f>
        <v>46.9204828581291</v>
      </c>
      <c r="N375" s="210" t="n">
        <f aca="false">DEGREES( ATAN(  SQRT(  ( TAN(N$363))^2  +  ( _xlfn.SEC(N$363) * TAN($A375))^2  )))</f>
        <v>33.2259422032876</v>
      </c>
      <c r="O375" s="210" t="n">
        <f aca="false">DEGREES( ATAN(  SQRT(  ( TAN(O$363))^2  +  ( _xlfn.SEC(O$363) * TAN($A375))^2  )))</f>
        <v>21.0905811789991</v>
      </c>
      <c r="P375" s="248" t="n">
        <f aca="false">DEGREES( ATAN(  SQRT(  ( TAN(P$363))^2  +  ( _xlfn.SEC(P$363) * TAN($A375))^2  )))</f>
        <v>15</v>
      </c>
      <c r="Q375" s="210" t="n">
        <f aca="false">DEGREES( ATAN(  SQRT(  ( TAN(Q$363))^2  +  ( _xlfn.SEC(Q$363) * TAN($A375))^2  )))</f>
        <v>21.0905811789991</v>
      </c>
      <c r="R375" s="210" t="n">
        <f aca="false">DEGREES( ATAN(  SQRT(  ( TAN(R$363))^2  +  ( _xlfn.SEC(R$363) * TAN($A375))^2  )))</f>
        <v>33.2259422032876</v>
      </c>
      <c r="S375" s="210" t="n">
        <f aca="false">DEGREES( ATAN(  SQRT(  ( TAN(S$363))^2  +  ( _xlfn.SEC(S$363) * TAN($A375))^2  )))</f>
        <v>46.9204828581291</v>
      </c>
      <c r="T375" s="210" t="n">
        <f aca="false">DEGREES( ATAN(  SQRT(  ( TAN(T$363))^2  +  ( _xlfn.SEC(T$363) * TAN($A375))^2  )))</f>
        <v>61.1209059825724</v>
      </c>
      <c r="U375" s="210" t="n">
        <f aca="false">DEGREES( ATAN(  SQRT(  ( TAN(U$363))^2  +  ( _xlfn.SEC(U$363) * TAN($A375))^2  )))</f>
        <v>75.5224878140701</v>
      </c>
      <c r="V375" s="248" t="n">
        <f aca="false">DEGREES( ATAN(  SQRT(  ( TAN(V$363))^2  +  ( _xlfn.SEC(V$363) * TAN($A375))^2  )))</f>
        <v>90</v>
      </c>
      <c r="W375" s="249" t="n">
        <f aca="false">ABS(90-90*SIGN(COS(W$363)*COS($A375))      -   DEGREES( ATAN(  SQRT(  ( TAN(W$363))^2  +  ( _xlfn.SEC(W$363) * TAN($A375))^2  ))))</f>
        <v>104.47751218593</v>
      </c>
      <c r="X375" s="249" t="n">
        <f aca="false">ABS(90-90*SIGN(COS(X$363)*COS($A375))      -   DEGREES( ATAN(  SQRT(  ( TAN(X$363))^2  +  ( _xlfn.SEC(X$363) * TAN($A375))^2  ))))</f>
        <v>118.879094017428</v>
      </c>
      <c r="Y375" s="249" t="n">
        <f aca="false">ABS(90-90*SIGN(COS(Y$363)*COS($A375))      -   DEGREES( ATAN(  SQRT(  ( TAN(Y$363))^2  +  ( _xlfn.SEC(Y$363) * TAN($A375))^2  ))))</f>
        <v>133.079517141871</v>
      </c>
      <c r="Z375" s="249" t="n">
        <f aca="false">ABS(90-90*SIGN(COS(Z$363)*COS($A375))      -   DEGREES( ATAN(  SQRT(  ( TAN(Z$363))^2  +  ( _xlfn.SEC(Z$363) * TAN($A375))^2  ))))</f>
        <v>146.774057796712</v>
      </c>
      <c r="AA375" s="249" t="n">
        <f aca="false">ABS(90-90*SIGN(COS(AA$363)*COS($A375))      -   DEGREES( ATAN(  SQRT(  ( TAN(AA$363))^2  +  ( _xlfn.SEC(AA$363) * TAN($A375))^2  ))))</f>
        <v>158.909418821001</v>
      </c>
      <c r="AB375" s="248" t="n">
        <f aca="false">ABS(90-90*SIGN(COS(AB$363)*COS($A375))      -   DEGREES( ATAN(  SQRT(  ( TAN(AB$363))^2  +  ( _xlfn.SEC(AB$363) * TAN($A375))^2  ))))</f>
        <v>164.999996743172</v>
      </c>
      <c r="AC375" s="195" t="n">
        <f aca="false">DEGREES( ATAN(  SQRT(  ( TAN(AC$363))^2  +  ( _xlfn.SEC(AC$363) * TAN($A375))^2  )))</f>
        <v>15</v>
      </c>
      <c r="AD375" s="195" t="n">
        <f aca="false">DEGREES( ATAN(  SQRT(  ( TAN(AD$363))^2  +  ( _xlfn.SEC(AD$363) * TAN($A375))^2  )))</f>
        <v>15</v>
      </c>
      <c r="AE375" s="1"/>
      <c r="AF375" s="1"/>
      <c r="AG375" s="1"/>
      <c r="AH375" s="1"/>
      <c r="AI375" s="1"/>
      <c r="AJ375" s="1"/>
      <c r="AK375" s="1"/>
      <c r="AL375" s="1"/>
    </row>
    <row r="376" customFormat="false" ht="12.75" hidden="false" customHeight="true" outlineLevel="0" collapsed="false">
      <c r="A376" s="192" t="n">
        <f aca="false">RADIANS(MOD(B376-180,-360)+180)</f>
        <v>3.14159265358979</v>
      </c>
      <c r="B376" s="182" t="n">
        <v>180</v>
      </c>
      <c r="C376" s="1"/>
      <c r="D376" s="248" t="n">
        <f aca="false">ABS(90-90*SIGN(COS(D$363)*COS($A376))      -   DEGREES( ATAN(  SQRT(  ( TAN(D$363))^2  +  ( _xlfn.SEC(D$363) * TAN($A376))^2  ))))</f>
        <v>179.999</v>
      </c>
      <c r="E376" s="248" t="n">
        <f aca="false">ABS(90-90*SIGN(COS(E$363)*COS($A376))      -   DEGREES( ATAN(  SQRT(  ( TAN(E$363))^2  +  ( _xlfn.SEC(E$363) * TAN($A376))^2  ))))</f>
        <v>165</v>
      </c>
      <c r="F376" s="248" t="n">
        <f aca="false">ABS(90-90*SIGN(COS(F$363)*COS($A376))      -   DEGREES( ATAN(  SQRT(  ( TAN(F$363))^2  +  ( _xlfn.SEC(F$363) * TAN($A376))^2  ))))</f>
        <v>150</v>
      </c>
      <c r="G376" s="248" t="n">
        <f aca="false">ABS(90-90*SIGN(COS(G$363)*COS($A376))      -   DEGREES( ATAN(  SQRT(  ( TAN(G$363))^2  +  ( _xlfn.SEC(G$363) * TAN($A376))^2  ))))</f>
        <v>135</v>
      </c>
      <c r="H376" s="248" t="n">
        <f aca="false">ABS(90-90*SIGN(COS(H$363)*COS($A376))      -   DEGREES( ATAN(  SQRT(  ( TAN(H$363))^2  +  ( _xlfn.SEC(H$363) * TAN($A376))^2  ))))</f>
        <v>120</v>
      </c>
      <c r="I376" s="248" t="n">
        <f aca="false">ABS(90-90*SIGN(COS(I$363)*COS($A376))      -   DEGREES( ATAN(  SQRT(  ( TAN(I$363))^2  +  ( _xlfn.SEC(I$363) * TAN($A376))^2  ))))</f>
        <v>105</v>
      </c>
      <c r="J376" s="248" t="n">
        <f aca="false">DEGREES( ATAN(  SQRT(  ( TAN(J$363))^2  +  ( _xlfn.SEC(J$363) * TAN($A376))^2  )))</f>
        <v>90</v>
      </c>
      <c r="K376" s="248" t="n">
        <f aca="false">DEGREES( ATAN(  SQRT(  ( TAN(K$363))^2  +  ( _xlfn.SEC(K$363) * TAN($A376))^2  )))</f>
        <v>75</v>
      </c>
      <c r="L376" s="248" t="n">
        <f aca="false">DEGREES( ATAN(  SQRT(  ( TAN(L$363))^2  +  ( _xlfn.SEC(L$363) * TAN($A376))^2  )))</f>
        <v>60</v>
      </c>
      <c r="M376" s="248" t="n">
        <f aca="false">DEGREES( ATAN(  SQRT(  ( TAN(M$363))^2  +  ( _xlfn.SEC(M$363) * TAN($A376))^2  )))</f>
        <v>45</v>
      </c>
      <c r="N376" s="248" t="n">
        <f aca="false">DEGREES( ATAN(  SQRT(  ( TAN(N$363))^2  +  ( _xlfn.SEC(N$363) * TAN($A376))^2  )))</f>
        <v>30</v>
      </c>
      <c r="O376" s="248" t="n">
        <f aca="false">DEGREES( ATAN(  SQRT(  ( TAN(O$363))^2  +  ( _xlfn.SEC(O$363) * TAN($A376))^2  )))</f>
        <v>15</v>
      </c>
      <c r="P376" s="248" t="n">
        <f aca="false">DEGREES( ATAN(  SQRT(  ( TAN(P$363))^2  +  ( _xlfn.SEC(P$363) * TAN($A376))^2  )))</f>
        <v>9.92312545321743E-015</v>
      </c>
      <c r="Q376" s="248" t="n">
        <f aca="false">DEGREES( ATAN(  SQRT(  ( TAN(Q$363))^2  +  ( _xlfn.SEC(Q$363) * TAN($A376))^2  )))</f>
        <v>15</v>
      </c>
      <c r="R376" s="248" t="n">
        <f aca="false">DEGREES( ATAN(  SQRT(  ( TAN(R$363))^2  +  ( _xlfn.SEC(R$363) * TAN($A376))^2  )))</f>
        <v>30</v>
      </c>
      <c r="S376" s="248" t="n">
        <f aca="false">DEGREES( ATAN(  SQRT(  ( TAN(S$363))^2  +  ( _xlfn.SEC(S$363) * TAN($A376))^2  )))</f>
        <v>45</v>
      </c>
      <c r="T376" s="248" t="n">
        <f aca="false">DEGREES( ATAN(  SQRT(  ( TAN(T$363))^2  +  ( _xlfn.SEC(T$363) * TAN($A376))^2  )))</f>
        <v>60</v>
      </c>
      <c r="U376" s="248" t="n">
        <f aca="false">DEGREES( ATAN(  SQRT(  ( TAN(U$363))^2  +  ( _xlfn.SEC(U$363) * TAN($A376))^2  )))</f>
        <v>75</v>
      </c>
      <c r="V376" s="248" t="n">
        <f aca="false">DEGREES( ATAN(  SQRT(  ( TAN(V$363))^2  +  ( _xlfn.SEC(V$363) * TAN($A376))^2  )))</f>
        <v>90</v>
      </c>
      <c r="W376" s="248" t="n">
        <f aca="false">ABS(90-90*SIGN(COS(W$363)*COS($A376))      -   DEGREES( ATAN(  SQRT(  ( TAN(W$363))^2  +  ( _xlfn.SEC(W$363) * TAN($A376))^2  ))))</f>
        <v>105</v>
      </c>
      <c r="X376" s="248" t="n">
        <f aca="false">ABS(90-90*SIGN(COS(X$363)*COS($A376))      -   DEGREES( ATAN(  SQRT(  ( TAN(X$363))^2  +  ( _xlfn.SEC(X$363) * TAN($A376))^2  ))))</f>
        <v>120</v>
      </c>
      <c r="Y376" s="248" t="n">
        <f aca="false">ABS(90-90*SIGN(COS(Y$363)*COS($A376))      -   DEGREES( ATAN(  SQRT(  ( TAN(Y$363))^2  +  ( _xlfn.SEC(Y$363) * TAN($A376))^2  ))))</f>
        <v>135</v>
      </c>
      <c r="Z376" s="248" t="n">
        <f aca="false">ABS(90-90*SIGN(COS(Z$363)*COS($A376))      -   DEGREES( ATAN(  SQRT(  ( TAN(Z$363))^2  +  ( _xlfn.SEC(Z$363) * TAN($A376))^2  ))))</f>
        <v>150</v>
      </c>
      <c r="AA376" s="248" t="n">
        <f aca="false">ABS(90-90*SIGN(COS(AA$363)*COS($A376))      -   DEGREES( ATAN(  SQRT(  ( TAN(AA$363))^2  +  ( _xlfn.SEC(AA$363) * TAN($A376))^2  ))))</f>
        <v>165</v>
      </c>
      <c r="AB376" s="248" t="n">
        <f aca="false">ABS(90-90*SIGN(COS(AB$363)*COS($A376))      -   DEGREES( ATAN(  SQRT(  ( TAN(AB$363))^2  +  ( _xlfn.SEC(AB$363) * TAN($A376))^2  ))))</f>
        <v>179.99</v>
      </c>
      <c r="AC376" s="195" t="n">
        <f aca="false">DEGREES( ATAN(  SQRT(  ( TAN(AC$363))^2  +  ( _xlfn.SEC(AC$363) * TAN($A376))^2  )))</f>
        <v>7.01670929853488E-015</v>
      </c>
      <c r="AD376" s="195" t="n">
        <f aca="false">DEGREES( ATAN(  SQRT(  ( TAN(AD$363))^2  +  ( _xlfn.SEC(AD$363) * TAN($A376))^2  )))</f>
        <v>7.01670929853488E-015</v>
      </c>
      <c r="AE376" s="1"/>
      <c r="AF376" s="1"/>
      <c r="AG376" s="1"/>
      <c r="AH376" s="1"/>
      <c r="AI376" s="1"/>
      <c r="AJ376" s="1"/>
      <c r="AK376" s="1"/>
      <c r="AL376" s="1"/>
    </row>
    <row r="377" customFormat="false" ht="12.75" hidden="false" customHeight="true" outlineLevel="0" collapsed="false">
      <c r="A377" s="193" t="n">
        <f aca="false">RADIANS(MOD(B377-180,-360)+180)</f>
        <v>-2.87979326579064</v>
      </c>
      <c r="B377" s="182" t="n">
        <v>195</v>
      </c>
      <c r="C377" s="1"/>
      <c r="D377" s="248" t="n">
        <f aca="false">ABS(90-90*SIGN(COS(D$363)*COS($A377))      -   DEGREES( ATAN(  SQRT(  ( TAN(D$363))^2  +  ( _xlfn.SEC(D$363) * TAN($A377))^2  ))))</f>
        <v>164.999999967432</v>
      </c>
      <c r="E377" s="249" t="n">
        <f aca="false">ABS(90-90*SIGN(COS(E$363)*COS($A377))      -   DEGREES( ATAN(  SQRT(  ( TAN(E$363))^2  +  ( _xlfn.SEC(E$363) * TAN($A377))^2  ))))</f>
        <v>158.909418821001</v>
      </c>
      <c r="F377" s="249" t="n">
        <f aca="false">ABS(90-90*SIGN(COS(F$363)*COS($A377))      -   DEGREES( ATAN(  SQRT(  ( TAN(F$363))^2  +  ( _xlfn.SEC(F$363) * TAN($A377))^2  ))))</f>
        <v>146.774057796712</v>
      </c>
      <c r="G377" s="249" t="n">
        <f aca="false">ABS(90-90*SIGN(COS(G$363)*COS($A377))      -   DEGREES( ATAN(  SQRT(  ( TAN(G$363))^2  +  ( _xlfn.SEC(G$363) * TAN($A377))^2  ))))</f>
        <v>133.079517141871</v>
      </c>
      <c r="H377" s="249" t="n">
        <f aca="false">ABS(90-90*SIGN(COS(H$363)*COS($A377))      -   DEGREES( ATAN(  SQRT(  ( TAN(H$363))^2  +  ( _xlfn.SEC(H$363) * TAN($A377))^2  ))))</f>
        <v>118.879094017428</v>
      </c>
      <c r="I377" s="249" t="n">
        <f aca="false">ABS(90-90*SIGN(COS(I$363)*COS($A377))      -   DEGREES( ATAN(  SQRT(  ( TAN(I$363))^2  +  ( _xlfn.SEC(I$363) * TAN($A377))^2  ))))</f>
        <v>104.47751218593</v>
      </c>
      <c r="J377" s="248" t="n">
        <f aca="false">DEGREES( ATAN(  SQRT(  ( TAN(J$363))^2  +  ( _xlfn.SEC(J$363) * TAN($A377))^2  )))</f>
        <v>90</v>
      </c>
      <c r="K377" s="210" t="n">
        <f aca="false">DEGREES( ATAN(  SQRT(  ( TAN(K$363))^2  +  ( _xlfn.SEC(K$363) * TAN($A377))^2  )))</f>
        <v>75.5224878140701</v>
      </c>
      <c r="L377" s="210" t="n">
        <f aca="false">DEGREES( ATAN(  SQRT(  ( TAN(L$363))^2  +  ( _xlfn.SEC(L$363) * TAN($A377))^2  )))</f>
        <v>61.1209059825724</v>
      </c>
      <c r="M377" s="210" t="n">
        <f aca="false">DEGREES( ATAN(  SQRT(  ( TAN(M$363))^2  +  ( _xlfn.SEC(M$363) * TAN($A377))^2  )))</f>
        <v>46.9204828581291</v>
      </c>
      <c r="N377" s="210" t="n">
        <f aca="false">DEGREES( ATAN(  SQRT(  ( TAN(N$363))^2  +  ( _xlfn.SEC(N$363) * TAN($A377))^2  )))</f>
        <v>33.2259422032876</v>
      </c>
      <c r="O377" s="210" t="n">
        <f aca="false">DEGREES( ATAN(  SQRT(  ( TAN(O$363))^2  +  ( _xlfn.SEC(O$363) * TAN($A377))^2  )))</f>
        <v>21.0905811789991</v>
      </c>
      <c r="P377" s="248" t="n">
        <f aca="false">DEGREES( ATAN(  SQRT(  ( TAN(P$363))^2  +  ( _xlfn.SEC(P$363) * TAN($A377))^2  )))</f>
        <v>15</v>
      </c>
      <c r="Q377" s="210" t="n">
        <f aca="false">DEGREES( ATAN(  SQRT(  ( TAN(Q$363))^2  +  ( _xlfn.SEC(Q$363) * TAN($A377))^2  )))</f>
        <v>21.0905811789991</v>
      </c>
      <c r="R377" s="210" t="n">
        <f aca="false">DEGREES( ATAN(  SQRT(  ( TAN(R$363))^2  +  ( _xlfn.SEC(R$363) * TAN($A377))^2  )))</f>
        <v>33.2259422032876</v>
      </c>
      <c r="S377" s="210" t="n">
        <f aca="false">DEGREES( ATAN(  SQRT(  ( TAN(S$363))^2  +  ( _xlfn.SEC(S$363) * TAN($A377))^2  )))</f>
        <v>46.9204828581291</v>
      </c>
      <c r="T377" s="210" t="n">
        <f aca="false">DEGREES( ATAN(  SQRT(  ( TAN(T$363))^2  +  ( _xlfn.SEC(T$363) * TAN($A377))^2  )))</f>
        <v>61.1209059825724</v>
      </c>
      <c r="U377" s="210" t="n">
        <f aca="false">DEGREES( ATAN(  SQRT(  ( TAN(U$363))^2  +  ( _xlfn.SEC(U$363) * TAN($A377))^2  )))</f>
        <v>75.5224878140701</v>
      </c>
      <c r="V377" s="248" t="n">
        <f aca="false">DEGREES( ATAN(  SQRT(  ( TAN(V$363))^2  +  ( _xlfn.SEC(V$363) * TAN($A377))^2  )))</f>
        <v>90</v>
      </c>
      <c r="W377" s="249" t="n">
        <f aca="false">ABS(90-90*SIGN(COS(W$363)*COS($A377))      -   DEGREES( ATAN(  SQRT(  ( TAN(W$363))^2  +  ( _xlfn.SEC(W$363) * TAN($A377))^2  ))))</f>
        <v>104.47751218593</v>
      </c>
      <c r="X377" s="249" t="n">
        <f aca="false">ABS(90-90*SIGN(COS(X$363)*COS($A377))      -   DEGREES( ATAN(  SQRT(  ( TAN(X$363))^2  +  ( _xlfn.SEC(X$363) * TAN($A377))^2  ))))</f>
        <v>118.879094017428</v>
      </c>
      <c r="Y377" s="249" t="n">
        <f aca="false">ABS(90-90*SIGN(COS(Y$363)*COS($A377))      -   DEGREES( ATAN(  SQRT(  ( TAN(Y$363))^2  +  ( _xlfn.SEC(Y$363) * TAN($A377))^2  ))))</f>
        <v>133.079517141871</v>
      </c>
      <c r="Z377" s="249" t="n">
        <f aca="false">ABS(90-90*SIGN(COS(Z$363)*COS($A377))      -   DEGREES( ATAN(  SQRT(  ( TAN(Z$363))^2  +  ( _xlfn.SEC(Z$363) * TAN($A377))^2  ))))</f>
        <v>146.774057796712</v>
      </c>
      <c r="AA377" s="249" t="n">
        <f aca="false">ABS(90-90*SIGN(COS(AA$363)*COS($A377))      -   DEGREES( ATAN(  SQRT(  ( TAN(AA$363))^2  +  ( _xlfn.SEC(AA$363) * TAN($A377))^2  ))))</f>
        <v>158.909418821001</v>
      </c>
      <c r="AB377" s="248" t="n">
        <f aca="false">ABS(90-90*SIGN(COS(AB$363)*COS($A377))      -   DEGREES( ATAN(  SQRT(  ( TAN(AB$363))^2  +  ( _xlfn.SEC(AB$363) * TAN($A377))^2  ))))</f>
        <v>164.999996743172</v>
      </c>
      <c r="AC377" s="195" t="n">
        <f aca="false">DEGREES( ATAN(  SQRT(  ( TAN(AC$363))^2  +  ( _xlfn.SEC(AC$363) * TAN($A377))^2  )))</f>
        <v>15</v>
      </c>
      <c r="AD377" s="195" t="n">
        <f aca="false">DEGREES( ATAN(  SQRT(  ( TAN(AD$363))^2  +  ( _xlfn.SEC(AD$363) * TAN($A377))^2  )))</f>
        <v>15</v>
      </c>
      <c r="AE377" s="1"/>
      <c r="AF377" s="1"/>
      <c r="AG377" s="1"/>
      <c r="AH377" s="1"/>
      <c r="AI377" s="1"/>
      <c r="AJ377" s="1"/>
      <c r="AK377" s="1"/>
      <c r="AL377" s="1"/>
    </row>
    <row r="378" customFormat="false" ht="12.75" hidden="false" customHeight="true" outlineLevel="0" collapsed="false">
      <c r="A378" s="193" t="n">
        <f aca="false">RADIANS(MOD(B378-180,-360)+180)</f>
        <v>-2.61799387799149</v>
      </c>
      <c r="B378" s="182" t="n">
        <v>210</v>
      </c>
      <c r="C378" s="1"/>
      <c r="D378" s="248" t="n">
        <f aca="false">ABS(90-90*SIGN(COS(D$363)*COS($A378))      -   DEGREES( ATAN(  SQRT(  ( TAN(D$363))^2  +  ( _xlfn.SEC(D$363) * TAN($A378))^2  ))))</f>
        <v>149.999999984885</v>
      </c>
      <c r="E378" s="249" t="n">
        <f aca="false">ABS(90-90*SIGN(COS(E$363)*COS($A378))      -   DEGREES( ATAN(  SQRT(  ( TAN(E$363))^2  +  ( _xlfn.SEC(E$363) * TAN($A378))^2  ))))</f>
        <v>146.774057796712</v>
      </c>
      <c r="F378" s="249" t="n">
        <f aca="false">ABS(90-90*SIGN(COS(F$363)*COS($A378))      -   DEGREES( ATAN(  SQRT(  ( TAN(F$363))^2  +  ( _xlfn.SEC(F$363) * TAN($A378))^2  ))))</f>
        <v>138.590377890729</v>
      </c>
      <c r="G378" s="249" t="n">
        <f aca="false">ABS(90-90*SIGN(COS(G$363)*COS($A378))      -   DEGREES( ATAN(  SQRT(  ( TAN(G$363))^2  +  ( _xlfn.SEC(G$363) * TAN($A378))^2  ))))</f>
        <v>127.761243907035</v>
      </c>
      <c r="H378" s="249" t="n">
        <f aca="false">ABS(90-90*SIGN(COS(H$363)*COS($A378))      -   DEGREES( ATAN(  SQRT(  ( TAN(H$363))^2  +  ( _xlfn.SEC(H$363) * TAN($A378))^2  ))))</f>
        <v>115.658906273255</v>
      </c>
      <c r="I378" s="249" t="n">
        <f aca="false">ABS(90-90*SIGN(COS(I$363)*COS($A378))      -   DEGREES( ATAN(  SQRT(  ( TAN(I$363))^2  +  ( _xlfn.SEC(I$363) * TAN($A378))^2  ))))</f>
        <v>102.952539642222</v>
      </c>
      <c r="J378" s="248" t="n">
        <f aca="false">DEGREES( ATAN(  SQRT(  ( TAN(J$363))^2  +  ( _xlfn.SEC(J$363) * TAN($A378))^2  )))</f>
        <v>90</v>
      </c>
      <c r="K378" s="210" t="n">
        <f aca="false">DEGREES( ATAN(  SQRT(  ( TAN(K$363))^2  +  ( _xlfn.SEC(K$363) * TAN($A378))^2  )))</f>
        <v>77.0474603577776</v>
      </c>
      <c r="L378" s="210" t="n">
        <f aca="false">DEGREES( ATAN(  SQRT(  ( TAN(L$363))^2  +  ( _xlfn.SEC(L$363) * TAN($A378))^2  )))</f>
        <v>64.3410937267447</v>
      </c>
      <c r="M378" s="210" t="n">
        <f aca="false">DEGREES( ATAN(  SQRT(  ( TAN(M$363))^2  +  ( _xlfn.SEC(M$363) * TAN($A378))^2  )))</f>
        <v>52.238756092965</v>
      </c>
      <c r="N378" s="210" t="n">
        <f aca="false">DEGREES( ATAN(  SQRT(  ( TAN(N$363))^2  +  ( _xlfn.SEC(N$363) * TAN($A378))^2  )))</f>
        <v>41.4096221092709</v>
      </c>
      <c r="O378" s="210" t="n">
        <f aca="false">DEGREES( ATAN(  SQRT(  ( TAN(O$363))^2  +  ( _xlfn.SEC(O$363) * TAN($A378))^2  )))</f>
        <v>33.2259422032876</v>
      </c>
      <c r="P378" s="248" t="n">
        <f aca="false">DEGREES( ATAN(  SQRT(  ( TAN(P$363))^2  +  ( _xlfn.SEC(P$363) * TAN($A378))^2  )))</f>
        <v>30</v>
      </c>
      <c r="Q378" s="210" t="n">
        <f aca="false">DEGREES( ATAN(  SQRT(  ( TAN(Q$363))^2  +  ( _xlfn.SEC(Q$363) * TAN($A378))^2  )))</f>
        <v>33.2259422032876</v>
      </c>
      <c r="R378" s="210" t="n">
        <f aca="false">DEGREES( ATAN(  SQRT(  ( TAN(R$363))^2  +  ( _xlfn.SEC(R$363) * TAN($A378))^2  )))</f>
        <v>41.4096221092709</v>
      </c>
      <c r="S378" s="210" t="n">
        <f aca="false">DEGREES( ATAN(  SQRT(  ( TAN(S$363))^2  +  ( _xlfn.SEC(S$363) * TAN($A378))^2  )))</f>
        <v>52.238756092965</v>
      </c>
      <c r="T378" s="210" t="n">
        <f aca="false">DEGREES( ATAN(  SQRT(  ( TAN(T$363))^2  +  ( _xlfn.SEC(T$363) * TAN($A378))^2  )))</f>
        <v>64.3410937267447</v>
      </c>
      <c r="U378" s="210" t="n">
        <f aca="false">DEGREES( ATAN(  SQRT(  ( TAN(U$363))^2  +  ( _xlfn.SEC(U$363) * TAN($A378))^2  )))</f>
        <v>77.0474603577776</v>
      </c>
      <c r="V378" s="248" t="n">
        <f aca="false">DEGREES( ATAN(  SQRT(  ( TAN(V$363))^2  +  ( _xlfn.SEC(V$363) * TAN($A378))^2  )))</f>
        <v>90</v>
      </c>
      <c r="W378" s="249" t="n">
        <f aca="false">ABS(90-90*SIGN(COS(W$363)*COS($A378))      -   DEGREES( ATAN(  SQRT(  ( TAN(W$363))^2  +  ( _xlfn.SEC(W$363) * TAN($A378))^2  ))))</f>
        <v>102.952539642222</v>
      </c>
      <c r="X378" s="249" t="n">
        <f aca="false">ABS(90-90*SIGN(COS(X$363)*COS($A378))      -   DEGREES( ATAN(  SQRT(  ( TAN(X$363))^2  +  ( _xlfn.SEC(X$363) * TAN($A378))^2  ))))</f>
        <v>115.658906273255</v>
      </c>
      <c r="Y378" s="249" t="n">
        <f aca="false">ABS(90-90*SIGN(COS(Y$363)*COS($A378))      -   DEGREES( ATAN(  SQRT(  ( TAN(Y$363))^2  +  ( _xlfn.SEC(Y$363) * TAN($A378))^2  ))))</f>
        <v>127.761243907035</v>
      </c>
      <c r="Z378" s="249" t="n">
        <f aca="false">ABS(90-90*SIGN(COS(Z$363)*COS($A378))      -   DEGREES( ATAN(  SQRT(  ( TAN(Z$363))^2  +  ( _xlfn.SEC(Z$363) * TAN($A378))^2  ))))</f>
        <v>138.590377890729</v>
      </c>
      <c r="AA378" s="249" t="n">
        <f aca="false">ABS(90-90*SIGN(COS(AA$363)*COS($A378))      -   DEGREES( ATAN(  SQRT(  ( TAN(AA$363))^2  +  ( _xlfn.SEC(AA$363) * TAN($A378))^2  ))))</f>
        <v>146.774057796712</v>
      </c>
      <c r="AB378" s="248" t="n">
        <f aca="false">ABS(90-90*SIGN(COS(AB$363)*COS($A378))      -   DEGREES( ATAN(  SQRT(  ( TAN(AB$363))^2  +  ( _xlfn.SEC(AB$363) * TAN($A378))^2  ))))</f>
        <v>149.999998488501</v>
      </c>
      <c r="AC378" s="195" t="n">
        <f aca="false">DEGREES( ATAN(  SQRT(  ( TAN(AC$363))^2  +  ( _xlfn.SEC(AC$363) * TAN($A378))^2  )))</f>
        <v>30</v>
      </c>
      <c r="AD378" s="195" t="n">
        <f aca="false">DEGREES( ATAN(  SQRT(  ( TAN(AD$363))^2  +  ( _xlfn.SEC(AD$363) * TAN($A378))^2  )))</f>
        <v>30</v>
      </c>
      <c r="AE378" s="1"/>
      <c r="AF378" s="1"/>
      <c r="AG378" s="1"/>
      <c r="AH378" s="1"/>
      <c r="AI378" s="1"/>
      <c r="AJ378" s="1"/>
      <c r="AK378" s="1"/>
      <c r="AL378" s="1"/>
    </row>
    <row r="379" customFormat="false" ht="12.75" hidden="false" customHeight="true" outlineLevel="0" collapsed="false">
      <c r="A379" s="193" t="n">
        <f aca="false">RADIANS(MOD(B379-180,-360)+180)</f>
        <v>-2.35619449019234</v>
      </c>
      <c r="B379" s="182" t="n">
        <v>225</v>
      </c>
      <c r="C379" s="1"/>
      <c r="D379" s="248" t="n">
        <f aca="false">ABS(90-90*SIGN(COS(D$363)*COS($A379))      -   DEGREES( ATAN(  SQRT(  ( TAN(D$363))^2  +  ( _xlfn.SEC(D$363) * TAN($A379))^2  ))))</f>
        <v>134.999999991273</v>
      </c>
      <c r="E379" s="249" t="n">
        <f aca="false">ABS(90-90*SIGN(COS(E$363)*COS($A379))      -   DEGREES( ATAN(  SQRT(  ( TAN(E$363))^2  +  ( _xlfn.SEC(E$363) * TAN($A379))^2  ))))</f>
        <v>133.079517141871</v>
      </c>
      <c r="F379" s="249" t="n">
        <f aca="false">ABS(90-90*SIGN(COS(F$363)*COS($A379))      -   DEGREES( ATAN(  SQRT(  ( TAN(F$363))^2  +  ( _xlfn.SEC(F$363) * TAN($A379))^2  ))))</f>
        <v>127.761243907035</v>
      </c>
      <c r="G379" s="249" t="n">
        <f aca="false">ABS(90-90*SIGN(COS(G$363)*COS($A379))      -   DEGREES( ATAN(  SQRT(  ( TAN(G$363))^2  +  ( _xlfn.SEC(G$363) * TAN($A379))^2  ))))</f>
        <v>120</v>
      </c>
      <c r="H379" s="249" t="n">
        <f aca="false">ABS(90-90*SIGN(COS(H$363)*COS($A379))      -   DEGREES( ATAN(  SQRT(  ( TAN(H$363))^2  +  ( _xlfn.SEC(H$363) * TAN($A379))^2  ))))</f>
        <v>110.704811054635</v>
      </c>
      <c r="I379" s="249" t="n">
        <f aca="false">ABS(90-90*SIGN(COS(I$363)*COS($A379))      -   DEGREES( ATAN(  SQRT(  ( TAN(I$363))^2  +  ( _xlfn.SEC(I$363) * TAN($A379))^2  ))))</f>
        <v>100.5452905895</v>
      </c>
      <c r="J379" s="248" t="n">
        <f aca="false">DEGREES( ATAN(  SQRT(  ( TAN(J$363))^2  +  ( _xlfn.SEC(J$363) * TAN($A379))^2  )))</f>
        <v>90</v>
      </c>
      <c r="K379" s="210" t="n">
        <f aca="false">DEGREES( ATAN(  SQRT(  ( TAN(K$363))^2  +  ( _xlfn.SEC(K$363) * TAN($A379))^2  )))</f>
        <v>79.4547094105004</v>
      </c>
      <c r="L379" s="210" t="n">
        <f aca="false">DEGREES( ATAN(  SQRT(  ( TAN(L$363))^2  +  ( _xlfn.SEC(L$363) * TAN($A379))^2  )))</f>
        <v>69.2951889453646</v>
      </c>
      <c r="M379" s="210" t="n">
        <f aca="false">DEGREES( ATAN(  SQRT(  ( TAN(M$363))^2  +  ( _xlfn.SEC(M$363) * TAN($A379))^2  )))</f>
        <v>60</v>
      </c>
      <c r="N379" s="210" t="n">
        <f aca="false">DEGREES( ATAN(  SQRT(  ( TAN(N$363))^2  +  ( _xlfn.SEC(N$363) * TAN($A379))^2  )))</f>
        <v>52.238756092965</v>
      </c>
      <c r="O379" s="210" t="n">
        <f aca="false">DEGREES( ATAN(  SQRT(  ( TAN(O$363))^2  +  ( _xlfn.SEC(O$363) * TAN($A379))^2  )))</f>
        <v>46.9204828581291</v>
      </c>
      <c r="P379" s="248" t="n">
        <f aca="false">DEGREES( ATAN(  SQRT(  ( TAN(P$363))^2  +  ( _xlfn.SEC(P$363) * TAN($A379))^2  )))</f>
        <v>45</v>
      </c>
      <c r="Q379" s="210" t="n">
        <f aca="false">DEGREES( ATAN(  SQRT(  ( TAN(Q$363))^2  +  ( _xlfn.SEC(Q$363) * TAN($A379))^2  )))</f>
        <v>46.9204828581291</v>
      </c>
      <c r="R379" s="210" t="n">
        <f aca="false">DEGREES( ATAN(  SQRT(  ( TAN(R$363))^2  +  ( _xlfn.SEC(R$363) * TAN($A379))^2  )))</f>
        <v>52.238756092965</v>
      </c>
      <c r="S379" s="210" t="n">
        <f aca="false">DEGREES( ATAN(  SQRT(  ( TAN(S$363))^2  +  ( _xlfn.SEC(S$363) * TAN($A379))^2  )))</f>
        <v>60</v>
      </c>
      <c r="T379" s="210" t="n">
        <f aca="false">DEGREES( ATAN(  SQRT(  ( TAN(T$363))^2  +  ( _xlfn.SEC(T$363) * TAN($A379))^2  )))</f>
        <v>69.2951889453646</v>
      </c>
      <c r="U379" s="210" t="n">
        <f aca="false">DEGREES( ATAN(  SQRT(  ( TAN(U$363))^2  +  ( _xlfn.SEC(U$363) * TAN($A379))^2  )))</f>
        <v>79.4547094105004</v>
      </c>
      <c r="V379" s="248" t="n">
        <f aca="false">DEGREES( ATAN(  SQRT(  ( TAN(V$363))^2  +  ( _xlfn.SEC(V$363) * TAN($A379))^2  )))</f>
        <v>90</v>
      </c>
      <c r="W379" s="249" t="n">
        <f aca="false">ABS(90-90*SIGN(COS(W$363)*COS($A379))      -   DEGREES( ATAN(  SQRT(  ( TAN(W$363))^2  +  ( _xlfn.SEC(W$363) * TAN($A379))^2  ))))</f>
        <v>100.5452905895</v>
      </c>
      <c r="X379" s="249" t="n">
        <f aca="false">ABS(90-90*SIGN(COS(X$363)*COS($A379))      -   DEGREES( ATAN(  SQRT(  ( TAN(X$363))^2  +  ( _xlfn.SEC(X$363) * TAN($A379))^2  ))))</f>
        <v>110.704811054635</v>
      </c>
      <c r="Y379" s="249" t="n">
        <f aca="false">ABS(90-90*SIGN(COS(Y$363)*COS($A379))      -   DEGREES( ATAN(  SQRT(  ( TAN(Y$363))^2  +  ( _xlfn.SEC(Y$363) * TAN($A379))^2  ))))</f>
        <v>120</v>
      </c>
      <c r="Z379" s="249" t="n">
        <f aca="false">ABS(90-90*SIGN(COS(Z$363)*COS($A379))      -   DEGREES( ATAN(  SQRT(  ( TAN(Z$363))^2  +  ( _xlfn.SEC(Z$363) * TAN($A379))^2  ))))</f>
        <v>127.761243907035</v>
      </c>
      <c r="AA379" s="249" t="n">
        <f aca="false">ABS(90-90*SIGN(COS(AA$363)*COS($A379))      -   DEGREES( ATAN(  SQRT(  ( TAN(AA$363))^2  +  ( _xlfn.SEC(AA$363) * TAN($A379))^2  ))))</f>
        <v>133.079517141871</v>
      </c>
      <c r="AB379" s="248" t="n">
        <f aca="false">ABS(90-90*SIGN(COS(AB$363)*COS($A379))      -   DEGREES( ATAN(  SQRT(  ( TAN(AB$363))^2  +  ( _xlfn.SEC(AB$363) * TAN($A379))^2  ))))</f>
        <v>134.999999127335</v>
      </c>
      <c r="AC379" s="195" t="n">
        <f aca="false">DEGREES( ATAN(  SQRT(  ( TAN(AC$363))^2  +  ( _xlfn.SEC(AC$363) * TAN($A379))^2  )))</f>
        <v>45</v>
      </c>
      <c r="AD379" s="195" t="n">
        <f aca="false">DEGREES( ATAN(  SQRT(  ( TAN(AD$363))^2  +  ( _xlfn.SEC(AD$363) * TAN($A379))^2  )))</f>
        <v>45</v>
      </c>
      <c r="AE379" s="1"/>
      <c r="AF379" s="1"/>
      <c r="AG379" s="1"/>
      <c r="AH379" s="1"/>
      <c r="AI379" s="1"/>
      <c r="AJ379" s="1"/>
      <c r="AK379" s="1"/>
      <c r="AL379" s="1"/>
    </row>
    <row r="380" customFormat="false" ht="12.75" hidden="false" customHeight="true" outlineLevel="0" collapsed="false">
      <c r="A380" s="193" t="n">
        <f aca="false">RADIANS(MOD(B380-180,-360)+180)</f>
        <v>-2.0943951023932</v>
      </c>
      <c r="B380" s="182" t="n">
        <v>240</v>
      </c>
      <c r="C380" s="1"/>
      <c r="D380" s="248" t="n">
        <f aca="false">ABS(90-90*SIGN(COS(D$363)*COS($A380))      -   DEGREES( ATAN(  SQRT(  ( TAN(D$363))^2  +  ( _xlfn.SEC(D$363) * TAN($A380))^2  ))))</f>
        <v>119.999999994962</v>
      </c>
      <c r="E380" s="249" t="n">
        <f aca="false">ABS(90-90*SIGN(COS(E$363)*COS($A380))      -   DEGREES( ATAN(  SQRT(  ( TAN(E$363))^2  +  ( _xlfn.SEC(E$363) * TAN($A380))^2  ))))</f>
        <v>118.879094017428</v>
      </c>
      <c r="F380" s="249" t="n">
        <f aca="false">ABS(90-90*SIGN(COS(F$363)*COS($A380))      -   DEGREES( ATAN(  SQRT(  ( TAN(F$363))^2  +  ( _xlfn.SEC(F$363) * TAN($A380))^2  ))))</f>
        <v>115.658906273255</v>
      </c>
      <c r="G380" s="249" t="n">
        <f aca="false">ABS(90-90*SIGN(COS(G$363)*COS($A380))      -   DEGREES( ATAN(  SQRT(  ( TAN(G$363))^2  +  ( _xlfn.SEC(G$363) * TAN($A380))^2  ))))</f>
        <v>110.704811054635</v>
      </c>
      <c r="H380" s="249" t="n">
        <f aca="false">ABS(90-90*SIGN(COS(H$363)*COS($A380))      -   DEGREES( ATAN(  SQRT(  ( TAN(H$363))^2  +  ( _xlfn.SEC(H$363) * TAN($A380))^2  ))))</f>
        <v>104.47751218593</v>
      </c>
      <c r="I380" s="249" t="n">
        <f aca="false">ABS(90-90*SIGN(COS(I$363)*COS($A380))      -   DEGREES( ATAN(  SQRT(  ( TAN(I$363))^2  +  ( _xlfn.SEC(I$363) * TAN($A380))^2  ))))</f>
        <v>97.4354722261318</v>
      </c>
      <c r="J380" s="248" t="n">
        <f aca="false">DEGREES( ATAN(  SQRT(  ( TAN(J$363))^2  +  ( _xlfn.SEC(J$363) * TAN($A380))^2  )))</f>
        <v>90</v>
      </c>
      <c r="K380" s="210" t="n">
        <f aca="false">DEGREES( ATAN(  SQRT(  ( TAN(K$363))^2  +  ( _xlfn.SEC(K$363) * TAN($A380))^2  )))</f>
        <v>82.5645277738682</v>
      </c>
      <c r="L380" s="210" t="n">
        <f aca="false">DEGREES( ATAN(  SQRT(  ( TAN(L$363))^2  +  ( _xlfn.SEC(L$363) * TAN($A380))^2  )))</f>
        <v>75.5224878140701</v>
      </c>
      <c r="M380" s="210" t="n">
        <f aca="false">DEGREES( ATAN(  SQRT(  ( TAN(M$363))^2  +  ( _xlfn.SEC(M$363) * TAN($A380))^2  )))</f>
        <v>69.2951889453646</v>
      </c>
      <c r="N380" s="210" t="n">
        <f aca="false">DEGREES( ATAN(  SQRT(  ( TAN(N$363))^2  +  ( _xlfn.SEC(N$363) * TAN($A380))^2  )))</f>
        <v>64.3410937267447</v>
      </c>
      <c r="O380" s="210" t="n">
        <f aca="false">DEGREES( ATAN(  SQRT(  ( TAN(O$363))^2  +  ( _xlfn.SEC(O$363) * TAN($A380))^2  )))</f>
        <v>61.1209059825724</v>
      </c>
      <c r="P380" s="248" t="n">
        <f aca="false">DEGREES( ATAN(  SQRT(  ( TAN(P$363))^2  +  ( _xlfn.SEC(P$363) * TAN($A380))^2  )))</f>
        <v>60</v>
      </c>
      <c r="Q380" s="210" t="n">
        <f aca="false">DEGREES( ATAN(  SQRT(  ( TAN(Q$363))^2  +  ( _xlfn.SEC(Q$363) * TAN($A380))^2  )))</f>
        <v>61.1209059825724</v>
      </c>
      <c r="R380" s="210" t="n">
        <f aca="false">DEGREES( ATAN(  SQRT(  ( TAN(R$363))^2  +  ( _xlfn.SEC(R$363) * TAN($A380))^2  )))</f>
        <v>64.3410937267447</v>
      </c>
      <c r="S380" s="210" t="n">
        <f aca="false">DEGREES( ATAN(  SQRT(  ( TAN(S$363))^2  +  ( _xlfn.SEC(S$363) * TAN($A380))^2  )))</f>
        <v>69.2951889453646</v>
      </c>
      <c r="T380" s="210" t="n">
        <f aca="false">DEGREES( ATAN(  SQRT(  ( TAN(T$363))^2  +  ( _xlfn.SEC(T$363) * TAN($A380))^2  )))</f>
        <v>75.5224878140701</v>
      </c>
      <c r="U380" s="210" t="n">
        <f aca="false">DEGREES( ATAN(  SQRT(  ( TAN(U$363))^2  +  ( _xlfn.SEC(U$363) * TAN($A380))^2  )))</f>
        <v>82.5645277738682</v>
      </c>
      <c r="V380" s="248" t="n">
        <f aca="false">DEGREES( ATAN(  SQRT(  ( TAN(V$363))^2  +  ( _xlfn.SEC(V$363) * TAN($A380))^2  )))</f>
        <v>90</v>
      </c>
      <c r="W380" s="249" t="n">
        <f aca="false">ABS(90-90*SIGN(COS(W$363)*COS($A380))      -   DEGREES( ATAN(  SQRT(  ( TAN(W$363))^2  +  ( _xlfn.SEC(W$363) * TAN($A380))^2  ))))</f>
        <v>97.4354722261318</v>
      </c>
      <c r="X380" s="249" t="n">
        <f aca="false">ABS(90-90*SIGN(COS(X$363)*COS($A380))      -   DEGREES( ATAN(  SQRT(  ( TAN(X$363))^2  +  ( _xlfn.SEC(X$363) * TAN($A380))^2  ))))</f>
        <v>104.47751218593</v>
      </c>
      <c r="Y380" s="249" t="n">
        <f aca="false">ABS(90-90*SIGN(COS(Y$363)*COS($A380))      -   DEGREES( ATAN(  SQRT(  ( TAN(Y$363))^2  +  ( _xlfn.SEC(Y$363) * TAN($A380))^2  ))))</f>
        <v>110.704811054635</v>
      </c>
      <c r="Z380" s="249" t="n">
        <f aca="false">ABS(90-90*SIGN(COS(Z$363)*COS($A380))      -   DEGREES( ATAN(  SQRT(  ( TAN(Z$363))^2  +  ( _xlfn.SEC(Z$363) * TAN($A380))^2  ))))</f>
        <v>115.658906273255</v>
      </c>
      <c r="AA380" s="249" t="n">
        <f aca="false">ABS(90-90*SIGN(COS(AA$363)*COS($A380))      -   DEGREES( ATAN(  SQRT(  ( TAN(AA$363))^2  +  ( _xlfn.SEC(AA$363) * TAN($A380))^2  ))))</f>
        <v>118.879094017428</v>
      </c>
      <c r="AB380" s="248" t="n">
        <f aca="false">ABS(90-90*SIGN(COS(AB$363)*COS($A380))      -   DEGREES( ATAN(  SQRT(  ( TAN(AB$363))^2  +  ( _xlfn.SEC(AB$363) * TAN($A380))^2  ))))</f>
        <v>119.999999496167</v>
      </c>
      <c r="AC380" s="195" t="n">
        <f aca="false">DEGREES( ATAN(  SQRT(  ( TAN(AC$363))^2  +  ( _xlfn.SEC(AC$363) * TAN($A380))^2  )))</f>
        <v>60</v>
      </c>
      <c r="AD380" s="195" t="n">
        <f aca="false">DEGREES( ATAN(  SQRT(  ( TAN(AD$363))^2  +  ( _xlfn.SEC(AD$363) * TAN($A380))^2  )))</f>
        <v>60</v>
      </c>
      <c r="AE380" s="1"/>
      <c r="AF380" s="1"/>
      <c r="AG380" s="1"/>
      <c r="AH380" s="1"/>
      <c r="AI380" s="1"/>
      <c r="AJ380" s="1"/>
      <c r="AK380" s="1"/>
      <c r="AL380" s="1"/>
    </row>
    <row r="381" customFormat="false" ht="12.75" hidden="false" customHeight="true" outlineLevel="0" collapsed="false">
      <c r="A381" s="193" t="n">
        <f aca="false">RADIANS(MOD(B381-180,-360)+180)</f>
        <v>-1.83259571459405</v>
      </c>
      <c r="B381" s="182" t="n">
        <v>255</v>
      </c>
      <c r="C381" s="1"/>
      <c r="D381" s="248" t="n">
        <f aca="false">ABS(90-90*SIGN(COS(D$363)*COS($A381))      -   DEGREES( ATAN(  SQRT(  ( TAN(D$363))^2  +  ( _xlfn.SEC(D$363) * TAN($A381))^2  ))))</f>
        <v>104.999999997662</v>
      </c>
      <c r="E381" s="249" t="n">
        <f aca="false">ABS(90-90*SIGN(COS(E$363)*COS($A381))      -   DEGREES( ATAN(  SQRT(  ( TAN(E$363))^2  +  ( _xlfn.SEC(E$363) * TAN($A381))^2  ))))</f>
        <v>104.47751218593</v>
      </c>
      <c r="F381" s="249" t="n">
        <f aca="false">ABS(90-90*SIGN(COS(F$363)*COS($A381))      -   DEGREES( ATAN(  SQRT(  ( TAN(F$363))^2  +  ( _xlfn.SEC(F$363) * TAN($A381))^2  ))))</f>
        <v>102.952539642222</v>
      </c>
      <c r="G381" s="249" t="n">
        <f aca="false">ABS(90-90*SIGN(COS(G$363)*COS($A381))      -   DEGREES( ATAN(  SQRT(  ( TAN(G$363))^2  +  ( _xlfn.SEC(G$363) * TAN($A381))^2  ))))</f>
        <v>100.5452905895</v>
      </c>
      <c r="H381" s="249" t="n">
        <f aca="false">ABS(90-90*SIGN(COS(H$363)*COS($A381))      -   DEGREES( ATAN(  SQRT(  ( TAN(H$363))^2  +  ( _xlfn.SEC(H$363) * TAN($A381))^2  ))))</f>
        <v>97.4354722261318</v>
      </c>
      <c r="I381" s="249" t="n">
        <f aca="false">ABS(90-90*SIGN(COS(I$363)*COS($A381))      -   DEGREES( ATAN(  SQRT(  ( TAN(I$363))^2  +  ( _xlfn.SEC(I$363) * TAN($A381))^2  ))))</f>
        <v>93.8409657162581</v>
      </c>
      <c r="J381" s="248" t="n">
        <f aca="false">DEGREES( ATAN(  SQRT(  ( TAN(J$363))^2  +  ( _xlfn.SEC(J$363) * TAN($A381))^2  )))</f>
        <v>90</v>
      </c>
      <c r="K381" s="210" t="n">
        <f aca="false">DEGREES( ATAN(  SQRT(  ( TAN(K$363))^2  +  ( _xlfn.SEC(K$363) * TAN($A381))^2  )))</f>
        <v>86.1590342837419</v>
      </c>
      <c r="L381" s="210" t="n">
        <f aca="false">DEGREES( ATAN(  SQRT(  ( TAN(L$363))^2  +  ( _xlfn.SEC(L$363) * TAN($A381))^2  )))</f>
        <v>82.5645277738682</v>
      </c>
      <c r="M381" s="210" t="n">
        <f aca="false">DEGREES( ATAN(  SQRT(  ( TAN(M$363))^2  +  ( _xlfn.SEC(M$363) * TAN($A381))^2  )))</f>
        <v>79.4547094105004</v>
      </c>
      <c r="N381" s="210" t="n">
        <f aca="false">DEGREES( ATAN(  SQRT(  ( TAN(N$363))^2  +  ( _xlfn.SEC(N$363) * TAN($A381))^2  )))</f>
        <v>77.0474603577776</v>
      </c>
      <c r="O381" s="210" t="n">
        <f aca="false">DEGREES( ATAN(  SQRT(  ( TAN(O$363))^2  +  ( _xlfn.SEC(O$363) * TAN($A381))^2  )))</f>
        <v>75.5224878140701</v>
      </c>
      <c r="P381" s="248" t="n">
        <f aca="false">DEGREES( ATAN(  SQRT(  ( TAN(P$363))^2  +  ( _xlfn.SEC(P$363) * TAN($A381))^2  )))</f>
        <v>75</v>
      </c>
      <c r="Q381" s="210" t="n">
        <f aca="false">DEGREES( ATAN(  SQRT(  ( TAN(Q$363))^2  +  ( _xlfn.SEC(Q$363) * TAN($A381))^2  )))</f>
        <v>75.5224878140701</v>
      </c>
      <c r="R381" s="210" t="n">
        <f aca="false">DEGREES( ATAN(  SQRT(  ( TAN(R$363))^2  +  ( _xlfn.SEC(R$363) * TAN($A381))^2  )))</f>
        <v>77.0474603577776</v>
      </c>
      <c r="S381" s="210" t="n">
        <f aca="false">DEGREES( ATAN(  SQRT(  ( TAN(S$363))^2  +  ( _xlfn.SEC(S$363) * TAN($A381))^2  )))</f>
        <v>79.4547094105004</v>
      </c>
      <c r="T381" s="210" t="n">
        <f aca="false">DEGREES( ATAN(  SQRT(  ( TAN(T$363))^2  +  ( _xlfn.SEC(T$363) * TAN($A381))^2  )))</f>
        <v>82.5645277738682</v>
      </c>
      <c r="U381" s="210" t="n">
        <f aca="false">DEGREES( ATAN(  SQRT(  ( TAN(U$363))^2  +  ( _xlfn.SEC(U$363) * TAN($A381))^2  )))</f>
        <v>86.1590342837419</v>
      </c>
      <c r="V381" s="248" t="n">
        <f aca="false">DEGREES( ATAN(  SQRT(  ( TAN(V$363))^2  +  ( _xlfn.SEC(V$363) * TAN($A381))^2  )))</f>
        <v>90</v>
      </c>
      <c r="W381" s="249" t="n">
        <f aca="false">ABS(90-90*SIGN(COS(W$363)*COS($A381))      -   DEGREES( ATAN(  SQRT(  ( TAN(W$363))^2  +  ( _xlfn.SEC(W$363) * TAN($A381))^2  ))))</f>
        <v>93.8409657162581</v>
      </c>
      <c r="X381" s="249" t="n">
        <f aca="false">ABS(90-90*SIGN(COS(X$363)*COS($A381))      -   DEGREES( ATAN(  SQRT(  ( TAN(X$363))^2  +  ( _xlfn.SEC(X$363) * TAN($A381))^2  ))))</f>
        <v>97.4354722261318</v>
      </c>
      <c r="Y381" s="249" t="n">
        <f aca="false">ABS(90-90*SIGN(COS(Y$363)*COS($A381))      -   DEGREES( ATAN(  SQRT(  ( TAN(Y$363))^2  +  ( _xlfn.SEC(Y$363) * TAN($A381))^2  ))))</f>
        <v>100.5452905895</v>
      </c>
      <c r="Z381" s="249" t="n">
        <f aca="false">ABS(90-90*SIGN(COS(Z$363)*COS($A381))      -   DEGREES( ATAN(  SQRT(  ( TAN(Z$363))^2  +  ( _xlfn.SEC(Z$363) * TAN($A381))^2  ))))</f>
        <v>102.952539642222</v>
      </c>
      <c r="AA381" s="249" t="n">
        <f aca="false">ABS(90-90*SIGN(COS(AA$363)*COS($A381))      -   DEGREES( ATAN(  SQRT(  ( TAN(AA$363))^2  +  ( _xlfn.SEC(AA$363) * TAN($A381))^2  ))))</f>
        <v>104.47751218593</v>
      </c>
      <c r="AB381" s="248" t="n">
        <f aca="false">ABS(90-90*SIGN(COS(AB$363)*COS($A381))      -   DEGREES( ATAN(  SQRT(  ( TAN(AB$363))^2  +  ( _xlfn.SEC(AB$363) * TAN($A381))^2  ))))</f>
        <v>104.99999976617</v>
      </c>
      <c r="AC381" s="195" t="n">
        <f aca="false">DEGREES( ATAN(  SQRT(  ( TAN(AC$363))^2  +  ( _xlfn.SEC(AC$363) * TAN($A381))^2  )))</f>
        <v>75</v>
      </c>
      <c r="AD381" s="195" t="n">
        <f aca="false">DEGREES( ATAN(  SQRT(  ( TAN(AD$363))^2  +  ( _xlfn.SEC(AD$363) * TAN($A381))^2  )))</f>
        <v>75</v>
      </c>
      <c r="AE381" s="1"/>
      <c r="AF381" s="1"/>
      <c r="AG381" s="1"/>
      <c r="AH381" s="1"/>
      <c r="AI381" s="1"/>
      <c r="AJ381" s="1"/>
      <c r="AK381" s="1"/>
      <c r="AL381" s="1"/>
    </row>
    <row r="382" customFormat="false" ht="12.75" hidden="false" customHeight="true" outlineLevel="0" collapsed="false">
      <c r="A382" s="193" t="n">
        <f aca="false">RADIANS(MOD(B382-180,-360)+180)</f>
        <v>-1.5707963267949</v>
      </c>
      <c r="B382" s="182" t="n">
        <v>270</v>
      </c>
      <c r="C382" s="1"/>
      <c r="D382" s="248" t="n">
        <f aca="false">DEGREES( ATAN(  SQRT(  ( TAN(D$363))^2  +  ( _xlfn.SEC(D$363) * TAN($A382))^2  )))</f>
        <v>90</v>
      </c>
      <c r="E382" s="248" t="n">
        <f aca="false">DEGREES( ATAN(  SQRT(  ( TAN(E$363))^2  +  ( _xlfn.SEC(E$363) * TAN($A382))^2  )))</f>
        <v>90</v>
      </c>
      <c r="F382" s="248" t="n">
        <f aca="false">DEGREES( ATAN(  SQRT(  ( TAN(F$363))^2  +  ( _xlfn.SEC(F$363) * TAN($A382))^2  )))</f>
        <v>90</v>
      </c>
      <c r="G382" s="248" t="n">
        <f aca="false">DEGREES( ATAN(  SQRT(  ( TAN(G$363))^2  +  ( _xlfn.SEC(G$363) * TAN($A382))^2  )))</f>
        <v>90</v>
      </c>
      <c r="H382" s="248" t="n">
        <f aca="false">DEGREES( ATAN(  SQRT(  ( TAN(H$363))^2  +  ( _xlfn.SEC(H$363) * TAN($A382))^2  )))</f>
        <v>90</v>
      </c>
      <c r="I382" s="248" t="n">
        <f aca="false">DEGREES( ATAN(  SQRT(  ( TAN(I$363))^2  +  ( _xlfn.SEC(I$363) * TAN($A382))^2  )))</f>
        <v>90</v>
      </c>
      <c r="J382" s="248" t="n">
        <f aca="false">DEGREES( ATAN(  SQRT(  ( TAN(J$363))^2  +  ( _xlfn.SEC(J$363) * TAN($A382))^2  )))</f>
        <v>90</v>
      </c>
      <c r="K382" s="248" t="n">
        <f aca="false">DEGREES( ATAN(  SQRT(  ( TAN(K$363))^2  +  ( _xlfn.SEC(K$363) * TAN($A382))^2  )))</f>
        <v>90</v>
      </c>
      <c r="L382" s="248" t="n">
        <f aca="false">DEGREES( ATAN(  SQRT(  ( TAN(L$363))^2  +  ( _xlfn.SEC(L$363) * TAN($A382))^2  )))</f>
        <v>90</v>
      </c>
      <c r="M382" s="248" t="n">
        <f aca="false">DEGREES( ATAN(  SQRT(  ( TAN(M$363))^2  +  ( _xlfn.SEC(M$363) * TAN($A382))^2  )))</f>
        <v>90</v>
      </c>
      <c r="N382" s="248" t="n">
        <f aca="false">DEGREES( ATAN(  SQRT(  ( TAN(N$363))^2  +  ( _xlfn.SEC(N$363) * TAN($A382))^2  )))</f>
        <v>90</v>
      </c>
      <c r="O382" s="248" t="n">
        <f aca="false">DEGREES( ATAN(  SQRT(  ( TAN(O$363))^2  +  ( _xlfn.SEC(O$363) * TAN($A382))^2  )))</f>
        <v>90</v>
      </c>
      <c r="P382" s="248" t="n">
        <f aca="false">DEGREES( ATAN(  SQRT(  ( TAN(P$363))^2  +  ( _xlfn.SEC(P$363) * TAN($A382))^2  )))</f>
        <v>90</v>
      </c>
      <c r="Q382" s="248" t="n">
        <f aca="false">DEGREES( ATAN(  SQRT(  ( TAN(Q$363))^2  +  ( _xlfn.SEC(Q$363) * TAN($A382))^2  )))</f>
        <v>90</v>
      </c>
      <c r="R382" s="248" t="n">
        <f aca="false">DEGREES( ATAN(  SQRT(  ( TAN(R$363))^2  +  ( _xlfn.SEC(R$363) * TAN($A382))^2  )))</f>
        <v>90</v>
      </c>
      <c r="S382" s="248" t="n">
        <f aca="false">DEGREES( ATAN(  SQRT(  ( TAN(S$363))^2  +  ( _xlfn.SEC(S$363) * TAN($A382))^2  )))</f>
        <v>90</v>
      </c>
      <c r="T382" s="248" t="n">
        <f aca="false">DEGREES( ATAN(  SQRT(  ( TAN(T$363))^2  +  ( _xlfn.SEC(T$363) * TAN($A382))^2  )))</f>
        <v>90</v>
      </c>
      <c r="U382" s="248" t="n">
        <f aca="false">DEGREES( ATAN(  SQRT(  ( TAN(U$363))^2  +  ( _xlfn.SEC(U$363) * TAN($A382))^2  )))</f>
        <v>90</v>
      </c>
      <c r="V382" s="248" t="n">
        <f aca="false">DEGREES( ATAN(  SQRT(  ( TAN(V$363))^2  +  ( _xlfn.SEC(V$363) * TAN($A382))^2  )))</f>
        <v>90</v>
      </c>
      <c r="W382" s="248" t="n">
        <f aca="false">DEGREES( ATAN(  SQRT(  ( TAN(W$363))^2  +  ( _xlfn.SEC(W$363) * TAN($A382))^2  )))</f>
        <v>90</v>
      </c>
      <c r="X382" s="248" t="n">
        <f aca="false">DEGREES( ATAN(  SQRT(  ( TAN(X$363))^2  +  ( _xlfn.SEC(X$363) * TAN($A382))^2  )))</f>
        <v>90</v>
      </c>
      <c r="Y382" s="248" t="n">
        <f aca="false">DEGREES( ATAN(  SQRT(  ( TAN(Y$363))^2  +  ( _xlfn.SEC(Y$363) * TAN($A382))^2  )))</f>
        <v>90</v>
      </c>
      <c r="Z382" s="248" t="n">
        <f aca="false">DEGREES( ATAN(  SQRT(  ( TAN(Z$363))^2  +  ( _xlfn.SEC(Z$363) * TAN($A382))^2  )))</f>
        <v>90</v>
      </c>
      <c r="AA382" s="248" t="n">
        <f aca="false">DEGREES( ATAN(  SQRT(  ( TAN(AA$363))^2  +  ( _xlfn.SEC(AA$363) * TAN($A382))^2  )))</f>
        <v>90</v>
      </c>
      <c r="AB382" s="248" t="n">
        <f aca="false">DEGREES( ATAN(  SQRT(  ( TAN(AB$363))^2  +  ( _xlfn.SEC(AB$363) * TAN($A382))^2  )))</f>
        <v>90</v>
      </c>
      <c r="AC382" s="195" t="n">
        <f aca="false">DEGREES( ATAN(  SQRT(  ( TAN(AC$363))^2  +  ( _xlfn.SEC(AC$363) * TAN($A382))^2  )))</f>
        <v>90</v>
      </c>
      <c r="AD382" s="195" t="n">
        <f aca="false">DEGREES( ATAN(  SQRT(  ( TAN(AD$363))^2  +  ( _xlfn.SEC(AD$363) * TAN($A382))^2  )))</f>
        <v>90</v>
      </c>
      <c r="AE382" s="1"/>
      <c r="AF382" s="1"/>
      <c r="AG382" s="1"/>
      <c r="AH382" s="1"/>
      <c r="AI382" s="1"/>
      <c r="AJ382" s="1"/>
      <c r="AK382" s="1"/>
      <c r="AL382" s="1"/>
    </row>
    <row r="383" customFormat="false" ht="12.75" hidden="false" customHeight="true" outlineLevel="0" collapsed="false">
      <c r="A383" s="193" t="n">
        <f aca="false">RADIANS(MOD(B383-180,-360)+180)</f>
        <v>-1.30899693899575</v>
      </c>
      <c r="B383" s="182" t="n">
        <v>285</v>
      </c>
      <c r="C383" s="1"/>
      <c r="D383" s="248" t="n">
        <f aca="false">DEGREES( ATAN(  SQRT(  ( TAN(D$363))^2  +  ( _xlfn.SEC(D$363) * TAN($A383))^2  )))</f>
        <v>75.0000000023383</v>
      </c>
      <c r="E383" s="210" t="n">
        <f aca="false">DEGREES( ATAN(  SQRT(  ( TAN(E$363))^2  +  ( _xlfn.SEC(E$363) * TAN($A383))^2  )))</f>
        <v>75.5224878140701</v>
      </c>
      <c r="F383" s="210" t="n">
        <f aca="false">DEGREES( ATAN(  SQRT(  ( TAN(F$363))^2  +  ( _xlfn.SEC(F$363) * TAN($A383))^2  )))</f>
        <v>77.0474603577776</v>
      </c>
      <c r="G383" s="210" t="n">
        <f aca="false">DEGREES( ATAN(  SQRT(  ( TAN(G$363))^2  +  ( _xlfn.SEC(G$363) * TAN($A383))^2  )))</f>
        <v>79.4547094105005</v>
      </c>
      <c r="H383" s="210" t="n">
        <f aca="false">DEGREES( ATAN(  SQRT(  ( TAN(H$363))^2  +  ( _xlfn.SEC(H$363) * TAN($A383))^2  )))</f>
        <v>82.5645277738682</v>
      </c>
      <c r="I383" s="210" t="n">
        <f aca="false">DEGREES( ATAN(  SQRT(  ( TAN(I$363))^2  +  ( _xlfn.SEC(I$363) * TAN($A383))^2  )))</f>
        <v>86.1590342837419</v>
      </c>
      <c r="J383" s="248" t="n">
        <f aca="false">DEGREES( ATAN(  SQRT(  ( TAN(J$363))^2  +  ( _xlfn.SEC(J$363) * TAN($A383))^2  )))</f>
        <v>90</v>
      </c>
      <c r="K383" s="249" t="n">
        <f aca="false">ABS(90-90*SIGN(COS(K$363)*COS($A383))      -   DEGREES( ATAN(  SQRT(  ( TAN(K$363))^2  +  ( _xlfn.SEC(K$363) * TAN($A383))^2  ))))</f>
        <v>93.8409657162581</v>
      </c>
      <c r="L383" s="249" t="n">
        <f aca="false">ABS(90-90*SIGN(COS(L$363)*COS($A383))      -   DEGREES( ATAN(  SQRT(  ( TAN(L$363))^2  +  ( _xlfn.SEC(L$363) * TAN($A383))^2  ))))</f>
        <v>97.4354722261318</v>
      </c>
      <c r="M383" s="249" t="n">
        <f aca="false">ABS(90-90*SIGN(COS(M$363)*COS($A383))      -   DEGREES( ATAN(  SQRT(  ( TAN(M$363))^2  +  ( _xlfn.SEC(M$363) * TAN($A383))^2  ))))</f>
        <v>100.5452905895</v>
      </c>
      <c r="N383" s="249" t="n">
        <f aca="false">ABS(90-90*SIGN(COS(N$363)*COS($A383))      -   DEGREES( ATAN(  SQRT(  ( TAN(N$363))^2  +  ( _xlfn.SEC(N$363) * TAN($A383))^2  ))))</f>
        <v>102.952539642222</v>
      </c>
      <c r="O383" s="249" t="n">
        <f aca="false">ABS(90-90*SIGN(COS(O$363)*COS($A383))      -   DEGREES( ATAN(  SQRT(  ( TAN(O$363))^2  +  ( _xlfn.SEC(O$363) * TAN($A383))^2  ))))</f>
        <v>104.47751218593</v>
      </c>
      <c r="P383" s="248" t="n">
        <f aca="false">ABS(90-90*SIGN(COS(P$363)*COS($A383))      -   DEGREES( ATAN(  SQRT(  ( TAN(P$363))^2  +  ( _xlfn.SEC(P$363) * TAN($A383))^2  ))))</f>
        <v>105</v>
      </c>
      <c r="Q383" s="249" t="n">
        <f aca="false">ABS(90-90*SIGN(COS(Q$363)*COS($A383))      -   DEGREES( ATAN(  SQRT(  ( TAN(Q$363))^2  +  ( _xlfn.SEC(Q$363) * TAN($A383))^2  ))))</f>
        <v>104.47751218593</v>
      </c>
      <c r="R383" s="249" t="n">
        <f aca="false">ABS(90-90*SIGN(COS(R$363)*COS($A383))      -   DEGREES( ATAN(  SQRT(  ( TAN(R$363))^2  +  ( _xlfn.SEC(R$363) * TAN($A383))^2  ))))</f>
        <v>102.952539642222</v>
      </c>
      <c r="S383" s="249" t="n">
        <f aca="false">ABS(90-90*SIGN(COS(S$363)*COS($A383))      -   DEGREES( ATAN(  SQRT(  ( TAN(S$363))^2  +  ( _xlfn.SEC(S$363) * TAN($A383))^2  ))))</f>
        <v>100.5452905895</v>
      </c>
      <c r="T383" s="249" t="n">
        <f aca="false">ABS(90-90*SIGN(COS(T$363)*COS($A383))      -   DEGREES( ATAN(  SQRT(  ( TAN(T$363))^2  +  ( _xlfn.SEC(T$363) * TAN($A383))^2  ))))</f>
        <v>97.4354722261318</v>
      </c>
      <c r="U383" s="249" t="n">
        <f aca="false">ABS(90-90*SIGN(COS(U$363)*COS($A383))      -   DEGREES( ATAN(  SQRT(  ( TAN(U$363))^2  +  ( _xlfn.SEC(U$363) * TAN($A383))^2  ))))</f>
        <v>93.8409657162581</v>
      </c>
      <c r="V383" s="248" t="n">
        <f aca="false">DEGREES( ATAN(  SQRT(  ( TAN(V$363))^2  +  ( _xlfn.SEC(V$363) * TAN($A383))^2  )))</f>
        <v>90</v>
      </c>
      <c r="W383" s="210" t="n">
        <f aca="false">DEGREES( ATAN(  SQRT(  ( TAN(W$363))^2  +  ( _xlfn.SEC(W$363) * TAN($A383))^2  )))</f>
        <v>86.1590342837419</v>
      </c>
      <c r="X383" s="210" t="n">
        <f aca="false">DEGREES( ATAN(  SQRT(  ( TAN(X$363))^2  +  ( _xlfn.SEC(X$363) * TAN($A383))^2  )))</f>
        <v>82.5645277738682</v>
      </c>
      <c r="Y383" s="210" t="n">
        <f aca="false">DEGREES( ATAN(  SQRT(  ( TAN(Y$363))^2  +  ( _xlfn.SEC(Y$363) * TAN($A383))^2  )))</f>
        <v>79.4547094105005</v>
      </c>
      <c r="Z383" s="210" t="n">
        <f aca="false">DEGREES( ATAN(  SQRT(  ( TAN(Z$363))^2  +  ( _xlfn.SEC(Z$363) * TAN($A383))^2  )))</f>
        <v>77.0474603577776</v>
      </c>
      <c r="AA383" s="210" t="n">
        <f aca="false">DEGREES( ATAN(  SQRT(  ( TAN(AA$363))^2  +  ( _xlfn.SEC(AA$363) * TAN($A383))^2  )))</f>
        <v>75.5224878140701</v>
      </c>
      <c r="AB383" s="248" t="n">
        <f aca="false">DEGREES( ATAN(  SQRT(  ( TAN(AB$363))^2  +  ( _xlfn.SEC(AB$363) * TAN($A383))^2  )))</f>
        <v>75.0000002338298</v>
      </c>
      <c r="AC383" s="195" t="n">
        <f aca="false">DEGREES( ATAN(  SQRT(  ( TAN(AC$363))^2  +  ( _xlfn.SEC(AC$363) * TAN($A383))^2  )))</f>
        <v>75</v>
      </c>
      <c r="AD383" s="195" t="n">
        <f aca="false">DEGREES( ATAN(  SQRT(  ( TAN(AD$363))^2  +  ( _xlfn.SEC(AD$363) * TAN($A383))^2  )))</f>
        <v>75</v>
      </c>
      <c r="AE383" s="1"/>
      <c r="AF383" s="1"/>
      <c r="AG383" s="1"/>
      <c r="AH383" s="1"/>
      <c r="AI383" s="1"/>
      <c r="AJ383" s="1"/>
      <c r="AK383" s="1"/>
      <c r="AL383" s="1"/>
    </row>
    <row r="384" customFormat="false" ht="12.75" hidden="false" customHeight="true" outlineLevel="0" collapsed="false">
      <c r="A384" s="193" t="n">
        <f aca="false">RADIANS(MOD(B384-180,-360)+180)</f>
        <v>-1.0471975511966</v>
      </c>
      <c r="B384" s="182" t="n">
        <v>300</v>
      </c>
      <c r="C384" s="1"/>
      <c r="D384" s="248" t="n">
        <f aca="false">DEGREES( ATAN(  SQRT(  ( TAN(D$363))^2  +  ( _xlfn.SEC(D$363) * TAN($A384))^2  )))</f>
        <v>60.0000000050383</v>
      </c>
      <c r="E384" s="210" t="n">
        <f aca="false">DEGREES( ATAN(  SQRT(  ( TAN(E$363))^2  +  ( _xlfn.SEC(E$363) * TAN($A384))^2  )))</f>
        <v>61.1209059825724</v>
      </c>
      <c r="F384" s="210" t="n">
        <f aca="false">DEGREES( ATAN(  SQRT(  ( TAN(F$363))^2  +  ( _xlfn.SEC(F$363) * TAN($A384))^2  )))</f>
        <v>64.3410937267447</v>
      </c>
      <c r="G384" s="210" t="n">
        <f aca="false">DEGREES( ATAN(  SQRT(  ( TAN(G$363))^2  +  ( _xlfn.SEC(G$363) * TAN($A384))^2  )))</f>
        <v>69.2951889453646</v>
      </c>
      <c r="H384" s="210" t="n">
        <f aca="false">DEGREES( ATAN(  SQRT(  ( TAN(H$363))^2  +  ( _xlfn.SEC(H$363) * TAN($A384))^2  )))</f>
        <v>75.5224878140701</v>
      </c>
      <c r="I384" s="210" t="n">
        <f aca="false">DEGREES( ATAN(  SQRT(  ( TAN(I$363))^2  +  ( _xlfn.SEC(I$363) * TAN($A384))^2  )))</f>
        <v>82.5645277738682</v>
      </c>
      <c r="J384" s="248" t="n">
        <f aca="false">DEGREES( ATAN(  SQRT(  ( TAN(J$363))^2  +  ( _xlfn.SEC(J$363) * TAN($A384))^2  )))</f>
        <v>90</v>
      </c>
      <c r="K384" s="249" t="n">
        <f aca="false">ABS(90-90*SIGN(COS(K$363)*COS($A384))      -   DEGREES( ATAN(  SQRT(  ( TAN(K$363))^2  +  ( _xlfn.SEC(K$363) * TAN($A384))^2  ))))</f>
        <v>97.4354722261318</v>
      </c>
      <c r="L384" s="249" t="n">
        <f aca="false">ABS(90-90*SIGN(COS(L$363)*COS($A384))      -   DEGREES( ATAN(  SQRT(  ( TAN(L$363))^2  +  ( _xlfn.SEC(L$363) * TAN($A384))^2  ))))</f>
        <v>104.47751218593</v>
      </c>
      <c r="M384" s="249" t="n">
        <f aca="false">ABS(90-90*SIGN(COS(M$363)*COS($A384))      -   DEGREES( ATAN(  SQRT(  ( TAN(M$363))^2  +  ( _xlfn.SEC(M$363) * TAN($A384))^2  ))))</f>
        <v>110.704811054635</v>
      </c>
      <c r="N384" s="249" t="n">
        <f aca="false">ABS(90-90*SIGN(COS(N$363)*COS($A384))      -   DEGREES( ATAN(  SQRT(  ( TAN(N$363))^2  +  ( _xlfn.SEC(N$363) * TAN($A384))^2  ))))</f>
        <v>115.658906273255</v>
      </c>
      <c r="O384" s="249" t="n">
        <f aca="false">ABS(90-90*SIGN(COS(O$363)*COS($A384))      -   DEGREES( ATAN(  SQRT(  ( TAN(O$363))^2  +  ( _xlfn.SEC(O$363) * TAN($A384))^2  ))))</f>
        <v>118.879094017428</v>
      </c>
      <c r="P384" s="248" t="n">
        <f aca="false">ABS(90-90*SIGN(COS(P$363)*COS($A384))      -   DEGREES( ATAN(  SQRT(  ( TAN(P$363))^2  +  ( _xlfn.SEC(P$363) * TAN($A384))^2  ))))</f>
        <v>120</v>
      </c>
      <c r="Q384" s="249" t="n">
        <f aca="false">ABS(90-90*SIGN(COS(Q$363)*COS($A384))      -   DEGREES( ATAN(  SQRT(  ( TAN(Q$363))^2  +  ( _xlfn.SEC(Q$363) * TAN($A384))^2  ))))</f>
        <v>118.879094017428</v>
      </c>
      <c r="R384" s="249" t="n">
        <f aca="false">ABS(90-90*SIGN(COS(R$363)*COS($A384))      -   DEGREES( ATAN(  SQRT(  ( TAN(R$363))^2  +  ( _xlfn.SEC(R$363) * TAN($A384))^2  ))))</f>
        <v>115.658906273255</v>
      </c>
      <c r="S384" s="249" t="n">
        <f aca="false">ABS(90-90*SIGN(COS(S$363)*COS($A384))      -   DEGREES( ATAN(  SQRT(  ( TAN(S$363))^2  +  ( _xlfn.SEC(S$363) * TAN($A384))^2  ))))</f>
        <v>110.704811054635</v>
      </c>
      <c r="T384" s="249" t="n">
        <f aca="false">ABS(90-90*SIGN(COS(T$363)*COS($A384))      -   DEGREES( ATAN(  SQRT(  ( TAN(T$363))^2  +  ( _xlfn.SEC(T$363) * TAN($A384))^2  ))))</f>
        <v>104.47751218593</v>
      </c>
      <c r="U384" s="249" t="n">
        <f aca="false">ABS(90-90*SIGN(COS(U$363)*COS($A384))      -   DEGREES( ATAN(  SQRT(  ( TAN(U$363))^2  +  ( _xlfn.SEC(U$363) * TAN($A384))^2  ))))</f>
        <v>97.4354722261318</v>
      </c>
      <c r="V384" s="248" t="n">
        <f aca="false">DEGREES( ATAN(  SQRT(  ( TAN(V$363))^2  +  ( _xlfn.SEC(V$363) * TAN($A384))^2  )))</f>
        <v>90</v>
      </c>
      <c r="W384" s="210" t="n">
        <f aca="false">DEGREES( ATAN(  SQRT(  ( TAN(W$363))^2  +  ( _xlfn.SEC(W$363) * TAN($A384))^2  )))</f>
        <v>82.5645277738682</v>
      </c>
      <c r="X384" s="210" t="n">
        <f aca="false">DEGREES( ATAN(  SQRT(  ( TAN(X$363))^2  +  ( _xlfn.SEC(X$363) * TAN($A384))^2  )))</f>
        <v>75.5224878140701</v>
      </c>
      <c r="Y384" s="210" t="n">
        <f aca="false">DEGREES( ATAN(  SQRT(  ( TAN(Y$363))^2  +  ( _xlfn.SEC(Y$363) * TAN($A384))^2  )))</f>
        <v>69.2951889453646</v>
      </c>
      <c r="Z384" s="210" t="n">
        <f aca="false">DEGREES( ATAN(  SQRT(  ( TAN(Z$363))^2  +  ( _xlfn.SEC(Z$363) * TAN($A384))^2  )))</f>
        <v>64.3410937267447</v>
      </c>
      <c r="AA384" s="210" t="n">
        <f aca="false">DEGREES( ATAN(  SQRT(  ( TAN(AA$363))^2  +  ( _xlfn.SEC(AA$363) * TAN($A384))^2  )))</f>
        <v>61.1209059825724</v>
      </c>
      <c r="AB384" s="248" t="n">
        <f aca="false">DEGREES( ATAN(  SQRT(  ( TAN(AB$363))^2  +  ( _xlfn.SEC(AB$363) * TAN($A384))^2  )))</f>
        <v>60.0000005038332</v>
      </c>
      <c r="AC384" s="195" t="n">
        <f aca="false">DEGREES( ATAN(  SQRT(  ( TAN(AC$363))^2  +  ( _xlfn.SEC(AC$363) * TAN($A384))^2  )))</f>
        <v>60</v>
      </c>
      <c r="AD384" s="195" t="n">
        <f aca="false">DEGREES( ATAN(  SQRT(  ( TAN(AD$363))^2  +  ( _xlfn.SEC(AD$363) * TAN($A384))^2  )))</f>
        <v>60</v>
      </c>
      <c r="AE384" s="1"/>
      <c r="AF384" s="1"/>
      <c r="AG384" s="1"/>
      <c r="AH384" s="1"/>
      <c r="AI384" s="1"/>
      <c r="AJ384" s="1"/>
      <c r="AK384" s="1"/>
      <c r="AL384" s="1"/>
    </row>
    <row r="385" customFormat="false" ht="12.75" hidden="false" customHeight="true" outlineLevel="0" collapsed="false">
      <c r="A385" s="193" t="n">
        <f aca="false">RADIANS(MOD(B385-180,-360)+180)</f>
        <v>-0.785398163397448</v>
      </c>
      <c r="B385" s="182" t="n">
        <v>315</v>
      </c>
      <c r="C385" s="1"/>
      <c r="D385" s="248" t="n">
        <f aca="false">DEGREES( ATAN(  SQRT(  ( TAN(D$363))^2  +  ( _xlfn.SEC(D$363) * TAN($A385))^2  )))</f>
        <v>45.0000000087266</v>
      </c>
      <c r="E385" s="210" t="n">
        <f aca="false">DEGREES( ATAN(  SQRT(  ( TAN(E$363))^2  +  ( _xlfn.SEC(E$363) * TAN($A385))^2  )))</f>
        <v>46.9204828581291</v>
      </c>
      <c r="F385" s="210" t="n">
        <f aca="false">DEGREES( ATAN(  SQRT(  ( TAN(F$363))^2  +  ( _xlfn.SEC(F$363) * TAN($A385))^2  )))</f>
        <v>52.238756092965</v>
      </c>
      <c r="G385" s="210" t="n">
        <f aca="false">DEGREES( ATAN(  SQRT(  ( TAN(G$363))^2  +  ( _xlfn.SEC(G$363) * TAN($A385))^2  )))</f>
        <v>60</v>
      </c>
      <c r="H385" s="210" t="n">
        <f aca="false">DEGREES( ATAN(  SQRT(  ( TAN(H$363))^2  +  ( _xlfn.SEC(H$363) * TAN($A385))^2  )))</f>
        <v>69.2951889453646</v>
      </c>
      <c r="I385" s="210" t="n">
        <f aca="false">DEGREES( ATAN(  SQRT(  ( TAN(I$363))^2  +  ( _xlfn.SEC(I$363) * TAN($A385))^2  )))</f>
        <v>79.4547094105005</v>
      </c>
      <c r="J385" s="248" t="n">
        <f aca="false">DEGREES( ATAN(  SQRT(  ( TAN(J$363))^2  +  ( _xlfn.SEC(J$363) * TAN($A385))^2  )))</f>
        <v>90</v>
      </c>
      <c r="K385" s="249" t="n">
        <f aca="false">ABS(90-90*SIGN(COS(K$363)*COS($A385))      -   DEGREES( ATAN(  SQRT(  ( TAN(K$363))^2  +  ( _xlfn.SEC(K$363) * TAN($A385))^2  ))))</f>
        <v>100.5452905895</v>
      </c>
      <c r="L385" s="249" t="n">
        <f aca="false">ABS(90-90*SIGN(COS(L$363)*COS($A385))      -   DEGREES( ATAN(  SQRT(  ( TAN(L$363))^2  +  ( _xlfn.SEC(L$363) * TAN($A385))^2  ))))</f>
        <v>110.704811054635</v>
      </c>
      <c r="M385" s="249" t="n">
        <f aca="false">ABS(90-90*SIGN(COS(M$363)*COS($A385))      -   DEGREES( ATAN(  SQRT(  ( TAN(M$363))^2  +  ( _xlfn.SEC(M$363) * TAN($A385))^2  ))))</f>
        <v>120</v>
      </c>
      <c r="N385" s="249" t="n">
        <f aca="false">ABS(90-90*SIGN(COS(N$363)*COS($A385))      -   DEGREES( ATAN(  SQRT(  ( TAN(N$363))^2  +  ( _xlfn.SEC(N$363) * TAN($A385))^2  ))))</f>
        <v>127.761243907035</v>
      </c>
      <c r="O385" s="249" t="n">
        <f aca="false">ABS(90-90*SIGN(COS(O$363)*COS($A385))      -   DEGREES( ATAN(  SQRT(  ( TAN(O$363))^2  +  ( _xlfn.SEC(O$363) * TAN($A385))^2  ))))</f>
        <v>133.079517141871</v>
      </c>
      <c r="P385" s="248" t="n">
        <f aca="false">ABS(90-90*SIGN(COS(P$363)*COS($A385))      -   DEGREES( ATAN(  SQRT(  ( TAN(P$363))^2  +  ( _xlfn.SEC(P$363) * TAN($A385))^2  ))))</f>
        <v>135</v>
      </c>
      <c r="Q385" s="249" t="n">
        <f aca="false">ABS(90-90*SIGN(COS(Q$363)*COS($A385))      -   DEGREES( ATAN(  SQRT(  ( TAN(Q$363))^2  +  ( _xlfn.SEC(Q$363) * TAN($A385))^2  ))))</f>
        <v>133.079517141871</v>
      </c>
      <c r="R385" s="249" t="n">
        <f aca="false">ABS(90-90*SIGN(COS(R$363)*COS($A385))      -   DEGREES( ATAN(  SQRT(  ( TAN(R$363))^2  +  ( _xlfn.SEC(R$363) * TAN($A385))^2  ))))</f>
        <v>127.761243907035</v>
      </c>
      <c r="S385" s="249" t="n">
        <f aca="false">ABS(90-90*SIGN(COS(S$363)*COS($A385))      -   DEGREES( ATAN(  SQRT(  ( TAN(S$363))^2  +  ( _xlfn.SEC(S$363) * TAN($A385))^2  ))))</f>
        <v>120</v>
      </c>
      <c r="T385" s="249" t="n">
        <f aca="false">ABS(90-90*SIGN(COS(T$363)*COS($A385))      -   DEGREES( ATAN(  SQRT(  ( TAN(T$363))^2  +  ( _xlfn.SEC(T$363) * TAN($A385))^2  ))))</f>
        <v>110.704811054635</v>
      </c>
      <c r="U385" s="249" t="n">
        <f aca="false">ABS(90-90*SIGN(COS(U$363)*COS($A385))      -   DEGREES( ATAN(  SQRT(  ( TAN(U$363))^2  +  ( _xlfn.SEC(U$363) * TAN($A385))^2  ))))</f>
        <v>100.5452905895</v>
      </c>
      <c r="V385" s="248" t="n">
        <f aca="false">DEGREES( ATAN(  SQRT(  ( TAN(V$363))^2  +  ( _xlfn.SEC(V$363) * TAN($A385))^2  )))</f>
        <v>90</v>
      </c>
      <c r="W385" s="210" t="n">
        <f aca="false">DEGREES( ATAN(  SQRT(  ( TAN(W$363))^2  +  ( _xlfn.SEC(W$363) * TAN($A385))^2  )))</f>
        <v>79.4547094105005</v>
      </c>
      <c r="X385" s="210" t="n">
        <f aca="false">DEGREES( ATAN(  SQRT(  ( TAN(X$363))^2  +  ( _xlfn.SEC(X$363) * TAN($A385))^2  )))</f>
        <v>69.2951889453646</v>
      </c>
      <c r="Y385" s="210" t="n">
        <f aca="false">DEGREES( ATAN(  SQRT(  ( TAN(Y$363))^2  +  ( _xlfn.SEC(Y$363) * TAN($A385))^2  )))</f>
        <v>60</v>
      </c>
      <c r="Z385" s="210" t="n">
        <f aca="false">DEGREES( ATAN(  SQRT(  ( TAN(Z$363))^2  +  ( _xlfn.SEC(Z$363) * TAN($A385))^2  )))</f>
        <v>52.238756092965</v>
      </c>
      <c r="AA385" s="210" t="n">
        <f aca="false">DEGREES( ATAN(  SQRT(  ( TAN(AA$363))^2  +  ( _xlfn.SEC(AA$363) * TAN($A385))^2  )))</f>
        <v>46.9204828581291</v>
      </c>
      <c r="AB385" s="248" t="n">
        <f aca="false">DEGREES( ATAN(  SQRT(  ( TAN(AB$363))^2  +  ( _xlfn.SEC(AB$363) * TAN($A385))^2  )))</f>
        <v>45.0000008726646</v>
      </c>
      <c r="AC385" s="195" t="n">
        <f aca="false">DEGREES( ATAN(  SQRT(  ( TAN(AC$363))^2  +  ( _xlfn.SEC(AC$363) * TAN($A385))^2  )))</f>
        <v>45</v>
      </c>
      <c r="AD385" s="195" t="n">
        <f aca="false">DEGREES( ATAN(  SQRT(  ( TAN(AD$363))^2  +  ( _xlfn.SEC(AD$363) * TAN($A385))^2  )))</f>
        <v>45</v>
      </c>
      <c r="AE385" s="1"/>
      <c r="AF385" s="1"/>
      <c r="AG385" s="1"/>
      <c r="AH385" s="1"/>
      <c r="AI385" s="1"/>
      <c r="AJ385" s="1"/>
      <c r="AK385" s="1"/>
      <c r="AL385" s="1"/>
    </row>
    <row r="386" customFormat="false" ht="12.75" hidden="false" customHeight="true" outlineLevel="0" collapsed="false">
      <c r="A386" s="193" t="n">
        <f aca="false">RADIANS(MOD(B386-180,-360)+180)</f>
        <v>-0.523598775598299</v>
      </c>
      <c r="B386" s="182" t="n">
        <v>330</v>
      </c>
      <c r="C386" s="1"/>
      <c r="D386" s="248" t="n">
        <f aca="false">DEGREES( ATAN(  SQRT(  ( TAN(D$363))^2  +  ( _xlfn.SEC(D$363) * TAN($A386))^2  )))</f>
        <v>30.000000015115</v>
      </c>
      <c r="E386" s="210" t="n">
        <f aca="false">DEGREES( ATAN(  SQRT(  ( TAN(E$363))^2  +  ( _xlfn.SEC(E$363) * TAN($A386))^2  )))</f>
        <v>33.2259422032876</v>
      </c>
      <c r="F386" s="210" t="n">
        <f aca="false">DEGREES( ATAN(  SQRT(  ( TAN(F$363))^2  +  ( _xlfn.SEC(F$363) * TAN($A386))^2  )))</f>
        <v>41.4096221092709</v>
      </c>
      <c r="G386" s="210" t="n">
        <f aca="false">DEGREES( ATAN(  SQRT(  ( TAN(G$363))^2  +  ( _xlfn.SEC(G$363) * TAN($A386))^2  )))</f>
        <v>52.238756092965</v>
      </c>
      <c r="H386" s="210" t="n">
        <f aca="false">DEGREES( ATAN(  SQRT(  ( TAN(H$363))^2  +  ( _xlfn.SEC(H$363) * TAN($A386))^2  )))</f>
        <v>64.3410937267447</v>
      </c>
      <c r="I386" s="210" t="n">
        <f aca="false">DEGREES( ATAN(  SQRT(  ( TAN(I$363))^2  +  ( _xlfn.SEC(I$363) * TAN($A386))^2  )))</f>
        <v>77.0474603577776</v>
      </c>
      <c r="J386" s="248" t="n">
        <f aca="false">DEGREES( ATAN(  SQRT(  ( TAN(J$363))^2  +  ( _xlfn.SEC(J$363) * TAN($A386))^2  )))</f>
        <v>90</v>
      </c>
      <c r="K386" s="249" t="n">
        <f aca="false">ABS(90-90*SIGN(COS(K$363)*COS($A386))      -   DEGREES( ATAN(  SQRT(  ( TAN(K$363))^2  +  ( _xlfn.SEC(K$363) * TAN($A386))^2  ))))</f>
        <v>102.952539642222</v>
      </c>
      <c r="L386" s="249" t="n">
        <f aca="false">ABS(90-90*SIGN(COS(L$363)*COS($A386))      -   DEGREES( ATAN(  SQRT(  ( TAN(L$363))^2  +  ( _xlfn.SEC(L$363) * TAN($A386))^2  ))))</f>
        <v>115.658906273255</v>
      </c>
      <c r="M386" s="249" t="n">
        <f aca="false">ABS(90-90*SIGN(COS(M$363)*COS($A386))      -   DEGREES( ATAN(  SQRT(  ( TAN(M$363))^2  +  ( _xlfn.SEC(M$363) * TAN($A386))^2  ))))</f>
        <v>127.761243907035</v>
      </c>
      <c r="N386" s="249" t="n">
        <f aca="false">ABS(90-90*SIGN(COS(N$363)*COS($A386))      -   DEGREES( ATAN(  SQRT(  ( TAN(N$363))^2  +  ( _xlfn.SEC(N$363) * TAN($A386))^2  ))))</f>
        <v>138.590377890729</v>
      </c>
      <c r="O386" s="249" t="n">
        <f aca="false">ABS(90-90*SIGN(COS(O$363)*COS($A386))      -   DEGREES( ATAN(  SQRT(  ( TAN(O$363))^2  +  ( _xlfn.SEC(O$363) * TAN($A386))^2  ))))</f>
        <v>146.774057796712</v>
      </c>
      <c r="P386" s="248" t="n">
        <f aca="false">ABS(90-90*SIGN(COS(P$363)*COS($A386))      -   DEGREES( ATAN(  SQRT(  ( TAN(P$363))^2  +  ( _xlfn.SEC(P$363) * TAN($A386))^2  ))))</f>
        <v>150</v>
      </c>
      <c r="Q386" s="249" t="n">
        <f aca="false">ABS(90-90*SIGN(COS(Q$363)*COS($A386))      -   DEGREES( ATAN(  SQRT(  ( TAN(Q$363))^2  +  ( _xlfn.SEC(Q$363) * TAN($A386))^2  ))))</f>
        <v>146.774057796712</v>
      </c>
      <c r="R386" s="249" t="n">
        <f aca="false">ABS(90-90*SIGN(COS(R$363)*COS($A386))      -   DEGREES( ATAN(  SQRT(  ( TAN(R$363))^2  +  ( _xlfn.SEC(R$363) * TAN($A386))^2  ))))</f>
        <v>138.590377890729</v>
      </c>
      <c r="S386" s="249" t="n">
        <f aca="false">ABS(90-90*SIGN(COS(S$363)*COS($A386))      -   DEGREES( ATAN(  SQRT(  ( TAN(S$363))^2  +  ( _xlfn.SEC(S$363) * TAN($A386))^2  ))))</f>
        <v>127.761243907035</v>
      </c>
      <c r="T386" s="249" t="n">
        <f aca="false">ABS(90-90*SIGN(COS(T$363)*COS($A386))      -   DEGREES( ATAN(  SQRT(  ( TAN(T$363))^2  +  ( _xlfn.SEC(T$363) * TAN($A386))^2  ))))</f>
        <v>115.658906273255</v>
      </c>
      <c r="U386" s="249" t="n">
        <f aca="false">ABS(90-90*SIGN(COS(U$363)*COS($A386))      -   DEGREES( ATAN(  SQRT(  ( TAN(U$363))^2  +  ( _xlfn.SEC(U$363) * TAN($A386))^2  ))))</f>
        <v>102.952539642222</v>
      </c>
      <c r="V386" s="248" t="n">
        <f aca="false">DEGREES( ATAN(  SQRT(  ( TAN(V$363))^2  +  ( _xlfn.SEC(V$363) * TAN($A386))^2  )))</f>
        <v>90</v>
      </c>
      <c r="W386" s="210" t="n">
        <f aca="false">DEGREES( ATAN(  SQRT(  ( TAN(W$363))^2  +  ( _xlfn.SEC(W$363) * TAN($A386))^2  )))</f>
        <v>77.0474603577776</v>
      </c>
      <c r="X386" s="210" t="n">
        <f aca="false">DEGREES( ATAN(  SQRT(  ( TAN(X$363))^2  +  ( _xlfn.SEC(X$363) * TAN($A386))^2  )))</f>
        <v>64.3410937267447</v>
      </c>
      <c r="Y386" s="210" t="n">
        <f aca="false">DEGREES( ATAN(  SQRT(  ( TAN(Y$363))^2  +  ( _xlfn.SEC(Y$363) * TAN($A386))^2  )))</f>
        <v>52.238756092965</v>
      </c>
      <c r="Z386" s="210" t="n">
        <f aca="false">DEGREES( ATAN(  SQRT(  ( TAN(Z$363))^2  +  ( _xlfn.SEC(Z$363) * TAN($A386))^2  )))</f>
        <v>41.4096221092709</v>
      </c>
      <c r="AA386" s="210" t="n">
        <f aca="false">DEGREES( ATAN(  SQRT(  ( TAN(AA$363))^2  +  ( _xlfn.SEC(AA$363) * TAN($A386))^2  )))</f>
        <v>33.2259422032876</v>
      </c>
      <c r="AB386" s="248" t="n">
        <f aca="false">DEGREES( ATAN(  SQRT(  ( TAN(AB$363))^2  +  ( _xlfn.SEC(AB$363) * TAN($A386))^2  )))</f>
        <v>30.0000015114994</v>
      </c>
      <c r="AC386" s="195" t="n">
        <f aca="false">DEGREES( ATAN(  SQRT(  ( TAN(AC$363))^2  +  ( _xlfn.SEC(AC$363) * TAN($A386))^2  )))</f>
        <v>30</v>
      </c>
      <c r="AD386" s="195" t="n">
        <f aca="false">DEGREES( ATAN(  SQRT(  ( TAN(AD$363))^2  +  ( _xlfn.SEC(AD$363) * TAN($A386))^2  )))</f>
        <v>30</v>
      </c>
      <c r="AE386" s="1"/>
      <c r="AF386" s="1"/>
      <c r="AG386" s="1"/>
      <c r="AH386" s="1"/>
      <c r="AI386" s="1"/>
      <c r="AJ386" s="1"/>
      <c r="AK386" s="1"/>
      <c r="AL386" s="1"/>
    </row>
    <row r="387" customFormat="false" ht="12.75" hidden="false" customHeight="true" outlineLevel="0" collapsed="false">
      <c r="A387" s="193" t="n">
        <f aca="false">RADIANS(MOD(B387-180,-360)+180)</f>
        <v>-0.261799387799149</v>
      </c>
      <c r="B387" s="182" t="n">
        <v>345</v>
      </c>
      <c r="C387" s="1"/>
      <c r="D387" s="248" t="n">
        <f aca="false">DEGREES( ATAN(  SQRT(  ( TAN(D$363))^2  +  ( _xlfn.SEC(D$363) * TAN($A387))^2  )))</f>
        <v>15.0000000325683</v>
      </c>
      <c r="E387" s="210" t="n">
        <f aca="false">DEGREES( ATAN(  SQRT(  ( TAN(E$363))^2  +  ( _xlfn.SEC(E$363) * TAN($A387))^2  )))</f>
        <v>21.0905811789991</v>
      </c>
      <c r="F387" s="210" t="n">
        <f aca="false">DEGREES( ATAN(  SQRT(  ( TAN(F$363))^2  +  ( _xlfn.SEC(F$363) * TAN($A387))^2  )))</f>
        <v>33.2259422032876</v>
      </c>
      <c r="G387" s="210" t="n">
        <f aca="false">DEGREES( ATAN(  SQRT(  ( TAN(G$363))^2  +  ( _xlfn.SEC(G$363) * TAN($A387))^2  )))</f>
        <v>46.9204828581291</v>
      </c>
      <c r="H387" s="210" t="n">
        <f aca="false">DEGREES( ATAN(  SQRT(  ( TAN(H$363))^2  +  ( _xlfn.SEC(H$363) * TAN($A387))^2  )))</f>
        <v>61.1209059825724</v>
      </c>
      <c r="I387" s="210" t="n">
        <f aca="false">DEGREES( ATAN(  SQRT(  ( TAN(I$363))^2  +  ( _xlfn.SEC(I$363) * TAN($A387))^2  )))</f>
        <v>75.5224878140701</v>
      </c>
      <c r="J387" s="248" t="n">
        <f aca="false">DEGREES( ATAN(  SQRT(  ( TAN(J$363))^2  +  ( _xlfn.SEC(J$363) * TAN($A387))^2  )))</f>
        <v>90</v>
      </c>
      <c r="K387" s="249" t="n">
        <f aca="false">ABS(90-90*SIGN(COS(K$363)*COS($A387))      -   DEGREES( ATAN(  SQRT(  ( TAN(K$363))^2  +  ( _xlfn.SEC(K$363) * TAN($A387))^2  ))))</f>
        <v>104.47751218593</v>
      </c>
      <c r="L387" s="249" t="n">
        <f aca="false">ABS(90-90*SIGN(COS(L$363)*COS($A387))      -   DEGREES( ATAN(  SQRT(  ( TAN(L$363))^2  +  ( _xlfn.SEC(L$363) * TAN($A387))^2  ))))</f>
        <v>118.879094017428</v>
      </c>
      <c r="M387" s="249" t="n">
        <f aca="false">ABS(90-90*SIGN(COS(M$363)*COS($A387))      -   DEGREES( ATAN(  SQRT(  ( TAN(M$363))^2  +  ( _xlfn.SEC(M$363) * TAN($A387))^2  ))))</f>
        <v>133.079517141871</v>
      </c>
      <c r="N387" s="249" t="n">
        <f aca="false">ABS(90-90*SIGN(COS(N$363)*COS($A387))      -   DEGREES( ATAN(  SQRT(  ( TAN(N$363))^2  +  ( _xlfn.SEC(N$363) * TAN($A387))^2  ))))</f>
        <v>146.774057796712</v>
      </c>
      <c r="O387" s="249" t="n">
        <f aca="false">ABS(90-90*SIGN(COS(O$363)*COS($A387))      -   DEGREES( ATAN(  SQRT(  ( TAN(O$363))^2  +  ( _xlfn.SEC(O$363) * TAN($A387))^2  ))))</f>
        <v>158.909418821001</v>
      </c>
      <c r="P387" s="248" t="n">
        <f aca="false">ABS(90-90*SIGN(COS(P$363)*COS($A387))      -   DEGREES( ATAN(  SQRT(  ( TAN(P$363))^2  +  ( _xlfn.SEC(P$363) * TAN($A387))^2  ))))</f>
        <v>165</v>
      </c>
      <c r="Q387" s="249" t="n">
        <f aca="false">ABS(90-90*SIGN(COS(Q$363)*COS($A387))      -   DEGREES( ATAN(  SQRT(  ( TAN(Q$363))^2  +  ( _xlfn.SEC(Q$363) * TAN($A387))^2  ))))</f>
        <v>158.909418821001</v>
      </c>
      <c r="R387" s="249" t="n">
        <f aca="false">ABS(90-90*SIGN(COS(R$363)*COS($A387))      -   DEGREES( ATAN(  SQRT(  ( TAN(R$363))^2  +  ( _xlfn.SEC(R$363) * TAN($A387))^2  ))))</f>
        <v>146.774057796712</v>
      </c>
      <c r="S387" s="249" t="n">
        <f aca="false">ABS(90-90*SIGN(COS(S$363)*COS($A387))      -   DEGREES( ATAN(  SQRT(  ( TAN(S$363))^2  +  ( _xlfn.SEC(S$363) * TAN($A387))^2  ))))</f>
        <v>133.079517141871</v>
      </c>
      <c r="T387" s="249" t="n">
        <f aca="false">ABS(90-90*SIGN(COS(T$363)*COS($A387))      -   DEGREES( ATAN(  SQRT(  ( TAN(T$363))^2  +  ( _xlfn.SEC(T$363) * TAN($A387))^2  ))))</f>
        <v>118.879094017428</v>
      </c>
      <c r="U387" s="249" t="n">
        <f aca="false">ABS(90-90*SIGN(COS(U$363)*COS($A387))      -   DEGREES( ATAN(  SQRT(  ( TAN(U$363))^2  +  ( _xlfn.SEC(U$363) * TAN($A387))^2  ))))</f>
        <v>104.47751218593</v>
      </c>
      <c r="V387" s="248" t="n">
        <f aca="false">DEGREES( ATAN(  SQRT(  ( TAN(V$363))^2  +  ( _xlfn.SEC(V$363) * TAN($A387))^2  )))</f>
        <v>90</v>
      </c>
      <c r="W387" s="210" t="n">
        <f aca="false">DEGREES( ATAN(  SQRT(  ( TAN(W$363))^2  +  ( _xlfn.SEC(W$363) * TAN($A387))^2  )))</f>
        <v>75.5224878140701</v>
      </c>
      <c r="X387" s="210" t="n">
        <f aca="false">DEGREES( ATAN(  SQRT(  ( TAN(X$363))^2  +  ( _xlfn.SEC(X$363) * TAN($A387))^2  )))</f>
        <v>61.1209059825724</v>
      </c>
      <c r="Y387" s="210" t="n">
        <f aca="false">DEGREES( ATAN(  SQRT(  ( TAN(Y$363))^2  +  ( _xlfn.SEC(Y$363) * TAN($A387))^2  )))</f>
        <v>46.9204828581291</v>
      </c>
      <c r="Z387" s="210" t="n">
        <f aca="false">DEGREES( ATAN(  SQRT(  ( TAN(Z$363))^2  +  ( _xlfn.SEC(Z$363) * TAN($A387))^2  )))</f>
        <v>33.2259422032876</v>
      </c>
      <c r="AA387" s="210" t="n">
        <f aca="false">DEGREES( ATAN(  SQRT(  ( TAN(AA$363))^2  +  ( _xlfn.SEC(AA$363) * TAN($A387))^2  )))</f>
        <v>21.0905811789991</v>
      </c>
      <c r="AB387" s="248" t="n">
        <f aca="false">DEGREES( ATAN(  SQRT(  ( TAN(AB$363))^2  +  ( _xlfn.SEC(AB$363) * TAN($A387))^2  )))</f>
        <v>15.0000032568284</v>
      </c>
      <c r="AC387" s="195" t="n">
        <f aca="false">DEGREES( ATAN(  SQRT(  ( TAN(AC$363))^2  +  ( _xlfn.SEC(AC$363) * TAN($A387))^2  )))</f>
        <v>15</v>
      </c>
      <c r="AD387" s="195" t="n">
        <f aca="false">DEGREES( ATAN(  SQRT(  ( TAN(AD$363))^2  +  ( _xlfn.SEC(AD$363) * TAN($A387))^2  )))</f>
        <v>15</v>
      </c>
      <c r="AE387" s="1"/>
      <c r="AF387" s="1"/>
      <c r="AG387" s="1"/>
      <c r="AH387" s="1"/>
      <c r="AI387" s="1"/>
      <c r="AJ387" s="1"/>
      <c r="AK387" s="1"/>
      <c r="AL387" s="1"/>
    </row>
    <row r="388" customFormat="false" ht="12.75" hidden="false" customHeight="true" outlineLevel="0" collapsed="false">
      <c r="A388" s="193" t="n">
        <f aca="false">RADIANS(MOD(B388-180,-360)+180)</f>
        <v>-0.000174532925199274</v>
      </c>
      <c r="B388" s="198" t="n">
        <v>359.99</v>
      </c>
      <c r="C388" s="1"/>
      <c r="D388" s="248" t="n">
        <f aca="false">DEGREES( ATAN(  SQRT(  ( TAN(D$363))^2  +  ( _xlfn.SEC(D$363) * TAN($A388))^2  )))</f>
        <v>0.0100498756206071</v>
      </c>
      <c r="E388" s="248" t="n">
        <f aca="false">DEGREES( ATAN(  SQRT(  ( TAN(E$363))^2  +  ( _xlfn.SEC(E$363) * TAN($A388))^2  )))</f>
        <v>15.0000032568284</v>
      </c>
      <c r="F388" s="248" t="n">
        <f aca="false">DEGREES( ATAN(  SQRT(  ( TAN(F$363))^2  +  ( _xlfn.SEC(F$363) * TAN($A388))^2  )))</f>
        <v>30.0000015114994</v>
      </c>
      <c r="G388" s="248" t="n">
        <f aca="false">DEGREES( ATAN(  SQRT(  ( TAN(G$363))^2  +  ( _xlfn.SEC(G$363) * TAN($A388))^2  )))</f>
        <v>45.0000008726646</v>
      </c>
      <c r="H388" s="248" t="n">
        <f aca="false">DEGREES( ATAN(  SQRT(  ( TAN(H$363))^2  +  ( _xlfn.SEC(H$363) * TAN($A388))^2  )))</f>
        <v>60.0000005038332</v>
      </c>
      <c r="I388" s="248" t="n">
        <f aca="false">DEGREES( ATAN(  SQRT(  ( TAN(I$363))^2  +  ( _xlfn.SEC(I$363) * TAN($A388))^2  )))</f>
        <v>75.0000002338298</v>
      </c>
      <c r="J388" s="248" t="n">
        <f aca="false">DEGREES( ATAN(  SQRT(  ( TAN(J$363))^2  +  ( _xlfn.SEC(J$363) * TAN($A388))^2  )))</f>
        <v>90</v>
      </c>
      <c r="K388" s="248" t="n">
        <f aca="false">ABS(90-90*SIGN(COS(K$363)*COS($A388))      -   DEGREES( ATAN(  SQRT(  ( TAN(K$363))^2  +  ( _xlfn.SEC(K$363) * TAN($A388))^2  ))))</f>
        <v>104.99999976617</v>
      </c>
      <c r="L388" s="248" t="n">
        <f aca="false">ABS(90-90*SIGN(COS(L$363)*COS($A388))      -   DEGREES( ATAN(  SQRT(  ( TAN(L$363))^2  +  ( _xlfn.SEC(L$363) * TAN($A388))^2  ))))</f>
        <v>119.999999496167</v>
      </c>
      <c r="M388" s="248" t="n">
        <f aca="false">ABS(90-90*SIGN(COS(M$363)*COS($A388))      -   DEGREES( ATAN(  SQRT(  ( TAN(M$363))^2  +  ( _xlfn.SEC(M$363) * TAN($A388))^2  ))))</f>
        <v>134.999999127335</v>
      </c>
      <c r="N388" s="248" t="n">
        <f aca="false">ABS(90-90*SIGN(COS(N$363)*COS($A388))      -   DEGREES( ATAN(  SQRT(  ( TAN(N$363))^2  +  ( _xlfn.SEC(N$363) * TAN($A388))^2  ))))</f>
        <v>149.999998488501</v>
      </c>
      <c r="O388" s="248" t="n">
        <f aca="false">ABS(90-90*SIGN(COS(O$363)*COS($A388))      -   DEGREES( ATAN(  SQRT(  ( TAN(O$363))^2  +  ( _xlfn.SEC(O$363) * TAN($A388))^2  ))))</f>
        <v>164.999996743172</v>
      </c>
      <c r="P388" s="248" t="n">
        <f aca="false">ABS(90-90*SIGN(COS(P$363)*COS($A388))      -   DEGREES( ATAN(  SQRT(  ( TAN(P$363))^2  +  ( _xlfn.SEC(P$363) * TAN($A388))^2  ))))</f>
        <v>179.99</v>
      </c>
      <c r="Q388" s="248" t="n">
        <f aca="false">ABS(90-90*SIGN(COS(Q$363)*COS($A388))      -   DEGREES( ATAN(  SQRT(  ( TAN(Q$363))^2  +  ( _xlfn.SEC(Q$363) * TAN($A388))^2  ))))</f>
        <v>164.999996743172</v>
      </c>
      <c r="R388" s="248" t="n">
        <f aca="false">ABS(90-90*SIGN(COS(R$363)*COS($A388))      -   DEGREES( ATAN(  SQRT(  ( TAN(R$363))^2  +  ( _xlfn.SEC(R$363) * TAN($A388))^2  ))))</f>
        <v>149.999998488501</v>
      </c>
      <c r="S388" s="248" t="n">
        <f aca="false">ABS(90-90*SIGN(COS(S$363)*COS($A388))      -   DEGREES( ATAN(  SQRT(  ( TAN(S$363))^2  +  ( _xlfn.SEC(S$363) * TAN($A388))^2  ))))</f>
        <v>134.999999127335</v>
      </c>
      <c r="T388" s="248" t="n">
        <f aca="false">ABS(90-90*SIGN(COS(T$363)*COS($A388))      -   DEGREES( ATAN(  SQRT(  ( TAN(T$363))^2  +  ( _xlfn.SEC(T$363) * TAN($A388))^2  ))))</f>
        <v>119.999999496167</v>
      </c>
      <c r="U388" s="248" t="n">
        <f aca="false">ABS(90-90*SIGN(COS(U$363)*COS($A388))      -   DEGREES( ATAN(  SQRT(  ( TAN(U$363))^2  +  ( _xlfn.SEC(U$363) * TAN($A388))^2  ))))</f>
        <v>104.99999976617</v>
      </c>
      <c r="V388" s="248" t="n">
        <f aca="false">DEGREES( ATAN(  SQRT(  ( TAN(V$363))^2  +  ( _xlfn.SEC(V$363) * TAN($A388))^2  )))</f>
        <v>90</v>
      </c>
      <c r="W388" s="248" t="n">
        <f aca="false">DEGREES( ATAN(  SQRT(  ( TAN(W$363))^2  +  ( _xlfn.SEC(W$363) * TAN($A388))^2  )))</f>
        <v>75.0000002338298</v>
      </c>
      <c r="X388" s="248" t="n">
        <f aca="false">DEGREES( ATAN(  SQRT(  ( TAN(X$363))^2  +  ( _xlfn.SEC(X$363) * TAN($A388))^2  )))</f>
        <v>60.0000005038332</v>
      </c>
      <c r="Y388" s="248" t="n">
        <f aca="false">DEGREES( ATAN(  SQRT(  ( TAN(Y$363))^2  +  ( _xlfn.SEC(Y$363) * TAN($A388))^2  )))</f>
        <v>45.0000008726646</v>
      </c>
      <c r="Z388" s="248" t="n">
        <f aca="false">DEGREES( ATAN(  SQRT(  ( TAN(Z$363))^2  +  ( _xlfn.SEC(Z$363) * TAN($A388))^2  )))</f>
        <v>30.0000015114994</v>
      </c>
      <c r="AA388" s="248" t="n">
        <f aca="false">DEGREES( ATAN(  SQRT(  ( TAN(AA$363))^2  +  ( _xlfn.SEC(AA$363) * TAN($A388))^2  )))</f>
        <v>15.0000032568284</v>
      </c>
      <c r="AB388" s="248" t="n">
        <f aca="false">DEGREES( ATAN(  SQRT(  ( TAN(AB$363))^2  +  ( _xlfn.SEC(AB$363) * TAN($A388))^2  )))</f>
        <v>0.0141421355878186</v>
      </c>
      <c r="AC388" s="195" t="n">
        <f aca="false">DEGREES( ATAN(  SQRT(  ( TAN(AC$363))^2  +  ( _xlfn.SEC(AC$363) * TAN($A388))^2  )))</f>
        <v>0.00999999999999091</v>
      </c>
      <c r="AD388" s="195" t="n">
        <f aca="false">DEGREES( ATAN(  SQRT(  ( TAN(AD$363))^2  +  ( _xlfn.SEC(AD$363) * TAN($A388))^2  )))</f>
        <v>0.00999999999999091</v>
      </c>
      <c r="AE388" s="1"/>
      <c r="AF388" s="1"/>
      <c r="AG388" s="1"/>
      <c r="AH388" s="1"/>
      <c r="AI388" s="1"/>
      <c r="AJ388" s="1"/>
      <c r="AK388" s="1"/>
      <c r="AL388" s="1"/>
    </row>
    <row r="389" customFormat="false" ht="12.75" hidden="false" customHeight="true" outlineLevel="0" collapsed="false">
      <c r="A389" s="192" t="n">
        <f aca="false">RADIANS(MOD(B389-180,-360)+180)</f>
        <v>0</v>
      </c>
      <c r="B389" s="184" t="n">
        <v>360</v>
      </c>
      <c r="C389" s="1"/>
      <c r="D389" s="195" t="n">
        <f aca="false">DEGREES( ATAN(  SQRT(  ( TAN(D$363))^2  +  ( _xlfn.SEC(D$363) * TAN($A389))^2  )))</f>
        <v>0.00100000000000477</v>
      </c>
      <c r="E389" s="195" t="n">
        <f aca="false">DEGREES( ATAN(  SQRT(  ( TAN(E$363))^2  +  ( _xlfn.SEC(E$363) * TAN($A389))^2  )))</f>
        <v>15</v>
      </c>
      <c r="F389" s="195" t="n">
        <f aca="false">DEGREES( ATAN(  SQRT(  ( TAN(F$363))^2  +  ( _xlfn.SEC(F$363) * TAN($A389))^2  )))</f>
        <v>30</v>
      </c>
      <c r="G389" s="195" t="n">
        <f aca="false">DEGREES( ATAN(  SQRT(  ( TAN(G$363))^2  +  ( _xlfn.SEC(G$363) * TAN($A389))^2  )))</f>
        <v>45</v>
      </c>
      <c r="H389" s="195" t="n">
        <f aca="false">DEGREES( ATAN(  SQRT(  ( TAN(H$363))^2  +  ( _xlfn.SEC(H$363) * TAN($A389))^2  )))</f>
        <v>60</v>
      </c>
      <c r="I389" s="195" t="n">
        <f aca="false">DEGREES( ATAN(  SQRT(  ( TAN(I$363))^2  +  ( _xlfn.SEC(I$363) * TAN($A389))^2  )))</f>
        <v>75</v>
      </c>
      <c r="J389" s="195" t="n">
        <f aca="false">DEGREES( ATAN(  SQRT(  ( TAN(J$363))^2  +  ( _xlfn.SEC(J$363) * TAN($A389))^2  )))</f>
        <v>90</v>
      </c>
      <c r="K389" s="195" t="n">
        <f aca="false">DEGREES( ATAN(  SQRT(  ( TAN(K$363))^2  +  ( _xlfn.SEC(K$363) * TAN($A389))^2  )))</f>
        <v>75</v>
      </c>
      <c r="L389" s="195" t="n">
        <f aca="false">DEGREES( ATAN(  SQRT(  ( TAN(L$363))^2  +  ( _xlfn.SEC(L$363) * TAN($A389))^2  )))</f>
        <v>60</v>
      </c>
      <c r="M389" s="195" t="n">
        <f aca="false">DEGREES( ATAN(  SQRT(  ( TAN(M$363))^2  +  ( _xlfn.SEC(M$363) * TAN($A389))^2  )))</f>
        <v>45</v>
      </c>
      <c r="N389" s="195" t="n">
        <f aca="false">DEGREES( ATAN(  SQRT(  ( TAN(N$363))^2  +  ( _xlfn.SEC(N$363) * TAN($A389))^2  )))</f>
        <v>30</v>
      </c>
      <c r="O389" s="195" t="n">
        <f aca="false">DEGREES( ATAN(  SQRT(  ( TAN(O$363))^2  +  ( _xlfn.SEC(O$363) * TAN($A389))^2  )))</f>
        <v>15</v>
      </c>
      <c r="P389" s="195" t="n">
        <f aca="false">DEGREES( ATAN(  SQRT(  ( TAN(P$363))^2  +  ( _xlfn.SEC(P$363) * TAN($A389))^2  )))</f>
        <v>7.01670929853488E-015</v>
      </c>
      <c r="Q389" s="195" t="n">
        <f aca="false">DEGREES( ATAN(  SQRT(  ( TAN(Q$363))^2  +  ( _xlfn.SEC(Q$363) * TAN($A389))^2  )))</f>
        <v>15</v>
      </c>
      <c r="R389" s="195" t="n">
        <f aca="false">DEGREES( ATAN(  SQRT(  ( TAN(R$363))^2  +  ( _xlfn.SEC(R$363) * TAN($A389))^2  )))</f>
        <v>30</v>
      </c>
      <c r="S389" s="195" t="n">
        <f aca="false">DEGREES( ATAN(  SQRT(  ( TAN(S$363))^2  +  ( _xlfn.SEC(S$363) * TAN($A389))^2  )))</f>
        <v>45</v>
      </c>
      <c r="T389" s="195" t="n">
        <f aca="false">DEGREES( ATAN(  SQRT(  ( TAN(T$363))^2  +  ( _xlfn.SEC(T$363) * TAN($A389))^2  )))</f>
        <v>60</v>
      </c>
      <c r="U389" s="195" t="n">
        <f aca="false">DEGREES( ATAN(  SQRT(  ( TAN(U$363))^2  +  ( _xlfn.SEC(U$363) * TAN($A389))^2  )))</f>
        <v>75</v>
      </c>
      <c r="V389" s="195" t="n">
        <f aca="false">DEGREES( ATAN(  SQRT(  ( TAN(V$363))^2  +  ( _xlfn.SEC(V$363) * TAN($A389))^2  )))</f>
        <v>90</v>
      </c>
      <c r="W389" s="195" t="n">
        <f aca="false">DEGREES( ATAN(  SQRT(  ( TAN(W$363))^2  +  ( _xlfn.SEC(W$363) * TAN($A389))^2  )))</f>
        <v>75</v>
      </c>
      <c r="X389" s="195" t="n">
        <f aca="false">DEGREES( ATAN(  SQRT(  ( TAN(X$363))^2  +  ( _xlfn.SEC(X$363) * TAN($A389))^2  )))</f>
        <v>60</v>
      </c>
      <c r="Y389" s="195" t="n">
        <f aca="false">DEGREES( ATAN(  SQRT(  ( TAN(Y$363))^2  +  ( _xlfn.SEC(Y$363) * TAN($A389))^2  )))</f>
        <v>45</v>
      </c>
      <c r="Z389" s="195" t="n">
        <f aca="false">DEGREES( ATAN(  SQRT(  ( TAN(Z$363))^2  +  ( _xlfn.SEC(Z$363) * TAN($A389))^2  )))</f>
        <v>30</v>
      </c>
      <c r="AA389" s="195" t="n">
        <f aca="false">DEGREES( ATAN(  SQRT(  ( TAN(AA$363))^2  +  ( _xlfn.SEC(AA$363) * TAN($A389))^2  )))</f>
        <v>15</v>
      </c>
      <c r="AB389" s="195" t="n">
        <f aca="false">DEGREES( ATAN(  SQRT(  ( TAN(AB$363))^2  +  ( _xlfn.SEC(AB$363) * TAN($A389))^2  )))</f>
        <v>0.00999999999999091</v>
      </c>
      <c r="AC389" s="195" t="n">
        <f aca="false">DEGREES( ATAN(  SQRT(  ( TAN(AC$363))^2  +  ( _xlfn.SEC(AC$363) * TAN($A389))^2  )))</f>
        <v>0</v>
      </c>
      <c r="AD389" s="195" t="n">
        <f aca="false">DEGREES( ATAN(  SQRT(  ( TAN(AD$363))^2  +  ( _xlfn.SEC(AD$363) * TAN($A389))^2  )))</f>
        <v>0</v>
      </c>
      <c r="AE389" s="1"/>
      <c r="AF389" s="1"/>
      <c r="AG389" s="1"/>
      <c r="AH389" s="1"/>
      <c r="AI389" s="1"/>
      <c r="AJ389" s="1"/>
      <c r="AK389" s="1"/>
      <c r="AL389" s="1"/>
    </row>
    <row r="390" customFormat="false" ht="12.75" hidden="false" customHeight="true" outlineLevel="0" collapsed="false">
      <c r="A390" s="192" t="n">
        <f aca="false">RADIANS(MOD(B390-180,-360)+180)</f>
        <v>0</v>
      </c>
      <c r="B390" s="184" t="n">
        <v>0</v>
      </c>
      <c r="C390" s="1"/>
      <c r="D390" s="195" t="n">
        <f aca="false">DEGREES( ATAN(  SQRT(  ( TAN(D$363))^2  +  ( _xlfn.SEC(D$363) * TAN($A390))^2  )))</f>
        <v>0.00100000000000477</v>
      </c>
      <c r="E390" s="195" t="n">
        <f aca="false">DEGREES( ATAN(  SQRT(  ( TAN(E$363))^2  +  ( _xlfn.SEC(E$363) * TAN($A390))^2  )))</f>
        <v>15</v>
      </c>
      <c r="F390" s="195" t="n">
        <f aca="false">DEGREES( ATAN(  SQRT(  ( TAN(F$363))^2  +  ( _xlfn.SEC(F$363) * TAN($A390))^2  )))</f>
        <v>30</v>
      </c>
      <c r="G390" s="195" t="n">
        <f aca="false">DEGREES( ATAN(  SQRT(  ( TAN(G$363))^2  +  ( _xlfn.SEC(G$363) * TAN($A390))^2  )))</f>
        <v>45</v>
      </c>
      <c r="H390" s="195" t="n">
        <f aca="false">DEGREES( ATAN(  SQRT(  ( TAN(H$363))^2  +  ( _xlfn.SEC(H$363) * TAN($A390))^2  )))</f>
        <v>60</v>
      </c>
      <c r="I390" s="195" t="n">
        <f aca="false">DEGREES( ATAN(  SQRT(  ( TAN(I$363))^2  +  ( _xlfn.SEC(I$363) * TAN($A390))^2  )))</f>
        <v>75</v>
      </c>
      <c r="J390" s="195" t="n">
        <f aca="false">DEGREES( ATAN(  SQRT(  ( TAN(J$363))^2  +  ( _xlfn.SEC(J$363) * TAN($A390))^2  )))</f>
        <v>90</v>
      </c>
      <c r="K390" s="195" t="n">
        <f aca="false">DEGREES( ATAN(  SQRT(  ( TAN(K$363))^2  +  ( _xlfn.SEC(K$363) * TAN($A390))^2  )))</f>
        <v>75</v>
      </c>
      <c r="L390" s="195" t="n">
        <f aca="false">DEGREES( ATAN(  SQRT(  ( TAN(L$363))^2  +  ( _xlfn.SEC(L$363) * TAN($A390))^2  )))</f>
        <v>60</v>
      </c>
      <c r="M390" s="195" t="n">
        <f aca="false">DEGREES( ATAN(  SQRT(  ( TAN(M$363))^2  +  ( _xlfn.SEC(M$363) * TAN($A390))^2  )))</f>
        <v>45</v>
      </c>
      <c r="N390" s="195" t="n">
        <f aca="false">DEGREES( ATAN(  SQRT(  ( TAN(N$363))^2  +  ( _xlfn.SEC(N$363) * TAN($A390))^2  )))</f>
        <v>30</v>
      </c>
      <c r="O390" s="195" t="n">
        <f aca="false">DEGREES( ATAN(  SQRT(  ( TAN(O$363))^2  +  ( _xlfn.SEC(O$363) * TAN($A390))^2  )))</f>
        <v>15</v>
      </c>
      <c r="P390" s="195" t="n">
        <f aca="false">DEGREES( ATAN(  SQRT(  ( TAN(P$363))^2  +  ( _xlfn.SEC(P$363) * TAN($A390))^2  )))</f>
        <v>7.01670929853488E-015</v>
      </c>
      <c r="Q390" s="195" t="n">
        <f aca="false">DEGREES( ATAN(  SQRT(  ( TAN(Q$363))^2  +  ( _xlfn.SEC(Q$363) * TAN($A390))^2  )))</f>
        <v>15</v>
      </c>
      <c r="R390" s="195" t="n">
        <f aca="false">DEGREES( ATAN(  SQRT(  ( TAN(R$363))^2  +  ( _xlfn.SEC(R$363) * TAN($A390))^2  )))</f>
        <v>30</v>
      </c>
      <c r="S390" s="195" t="n">
        <f aca="false">DEGREES( ATAN(  SQRT(  ( TAN(S$363))^2  +  ( _xlfn.SEC(S$363) * TAN($A390))^2  )))</f>
        <v>45</v>
      </c>
      <c r="T390" s="195" t="n">
        <f aca="false">DEGREES( ATAN(  SQRT(  ( TAN(T$363))^2  +  ( _xlfn.SEC(T$363) * TAN($A390))^2  )))</f>
        <v>60</v>
      </c>
      <c r="U390" s="195" t="n">
        <f aca="false">DEGREES( ATAN(  SQRT(  ( TAN(U$363))^2  +  ( _xlfn.SEC(U$363) * TAN($A390))^2  )))</f>
        <v>75</v>
      </c>
      <c r="V390" s="195" t="n">
        <f aca="false">DEGREES( ATAN(  SQRT(  ( TAN(V$363))^2  +  ( _xlfn.SEC(V$363) * TAN($A390))^2  )))</f>
        <v>90</v>
      </c>
      <c r="W390" s="195" t="n">
        <f aca="false">DEGREES( ATAN(  SQRT(  ( TAN(W$363))^2  +  ( _xlfn.SEC(W$363) * TAN($A390))^2  )))</f>
        <v>75</v>
      </c>
      <c r="X390" s="195" t="n">
        <f aca="false">DEGREES( ATAN(  SQRT(  ( TAN(X$363))^2  +  ( _xlfn.SEC(X$363) * TAN($A390))^2  )))</f>
        <v>60</v>
      </c>
      <c r="Y390" s="195" t="n">
        <f aca="false">DEGREES( ATAN(  SQRT(  ( TAN(Y$363))^2  +  ( _xlfn.SEC(Y$363) * TAN($A390))^2  )))</f>
        <v>45</v>
      </c>
      <c r="Z390" s="195" t="n">
        <f aca="false">DEGREES( ATAN(  SQRT(  ( TAN(Z$363))^2  +  ( _xlfn.SEC(Z$363) * TAN($A390))^2  )))</f>
        <v>30</v>
      </c>
      <c r="AA390" s="195" t="n">
        <f aca="false">DEGREES( ATAN(  SQRT(  ( TAN(AA$363))^2  +  ( _xlfn.SEC(AA$363) * TAN($A390))^2  )))</f>
        <v>15</v>
      </c>
      <c r="AB390" s="195" t="n">
        <f aca="false">DEGREES( ATAN(  SQRT(  ( TAN(AB$363))^2  +  ( _xlfn.SEC(AB$363) * TAN($A390))^2  )))</f>
        <v>0.00999999999999091</v>
      </c>
      <c r="AC390" s="195" t="n">
        <f aca="false">DEGREES( ATAN(  SQRT(  ( TAN(AC$363))^2  +  ( _xlfn.SEC(AC$363) * TAN($A390))^2  )))</f>
        <v>0</v>
      </c>
      <c r="AD390" s="195" t="n">
        <f aca="false">DEGREES( ATAN(  SQRT(  ( TAN(AD$363))^2  +  ( _xlfn.SEC(AD$363) * TAN($A390))^2  )))</f>
        <v>0</v>
      </c>
      <c r="AE390" s="1"/>
      <c r="AF390" s="1"/>
      <c r="AG390" s="1"/>
      <c r="AH390" s="1"/>
      <c r="AI390" s="1"/>
      <c r="AJ390" s="1"/>
      <c r="AK390" s="1"/>
      <c r="AL390" s="1"/>
    </row>
    <row r="391" customFormat="false" ht="12.75" hidden="false" customHeight="true" outlineLevel="0" collapsed="false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customFormat="false" ht="12.75" hidden="false" customHeight="true" outlineLevel="0" collapsed="false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customFormat="false" ht="12.75" hidden="false" customHeight="true" outlineLevel="0" collapsed="false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customFormat="false" ht="12.75" hidden="false" customHeight="true" outlineLevel="0" collapsed="false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customFormat="false" ht="12.75" hidden="false" customHeight="true" outlineLevel="0" collapsed="false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customFormat="false" ht="12.75" hidden="false" customHeight="true" outlineLevel="0" collapsed="false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customFormat="false" ht="12.75" hidden="false" customHeight="true" outlineLevel="0" collapsed="false">
      <c r="A397" s="1"/>
      <c r="B397" s="1"/>
      <c r="C397" s="1"/>
      <c r="D397" s="1"/>
      <c r="E397" s="1"/>
      <c r="F397" s="1"/>
      <c r="G397" s="1"/>
      <c r="H397" s="117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customFormat="false" ht="12.75" hidden="false" customHeight="true" outlineLevel="0" collapsed="false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customFormat="false" ht="12.75" hidden="false" customHeight="true" outlineLevel="0" collapsed="false">
      <c r="A399" s="1"/>
      <c r="B399" s="1"/>
      <c r="C399" s="1"/>
      <c r="D399" s="1"/>
      <c r="E399" s="1"/>
      <c r="F399" s="1"/>
      <c r="G399" s="224"/>
      <c r="H399" s="1"/>
      <c r="I399" s="117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customFormat="false" ht="12.75" hidden="false" customHeight="true" outlineLevel="0" collapsed="false">
      <c r="A400" s="1"/>
      <c r="B400" s="1"/>
      <c r="C400" s="1"/>
      <c r="D400" s="1"/>
      <c r="E400" s="1"/>
      <c r="F400" s="1"/>
      <c r="G400" s="224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customFormat="false" ht="12.75" hidden="false" customHeight="true" outlineLevel="0" collapsed="false">
      <c r="A401" s="163"/>
      <c r="B401" s="1"/>
      <c r="C401" s="163"/>
      <c r="D401" s="1"/>
      <c r="E401" s="1"/>
      <c r="F401" s="1"/>
      <c r="G401" s="1"/>
      <c r="H401" s="53"/>
      <c r="I401" s="53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customFormat="false" ht="12.75" hidden="false" customHeight="true" outlineLevel="0" collapsed="false">
      <c r="A402" s="250"/>
      <c r="B402" s="1"/>
      <c r="C402" s="1"/>
      <c r="D402" s="1"/>
      <c r="E402" s="1"/>
      <c r="F402" s="1"/>
      <c r="G402" s="1"/>
      <c r="H402" s="1"/>
      <c r="I402" s="53"/>
      <c r="J402" s="1"/>
      <c r="K402" s="1"/>
      <c r="L402" s="1"/>
      <c r="M402" s="1"/>
      <c r="N402" s="53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customFormat="false" ht="12.75" hidden="false" customHeight="true" outlineLevel="0" collapsed="false">
      <c r="A403" s="1"/>
      <c r="B403" s="1"/>
      <c r="C403" s="1"/>
      <c r="D403" s="1"/>
      <c r="E403" s="1"/>
      <c r="F403" s="1"/>
      <c r="G403" s="164"/>
      <c r="H403" s="1"/>
      <c r="I403" s="53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customFormat="false" ht="23.8" hidden="false" customHeight="true" outlineLevel="0" collapsed="false">
      <c r="A404" s="1"/>
      <c r="B404" s="1"/>
      <c r="C404" s="251" t="s">
        <v>259</v>
      </c>
      <c r="D404" s="252"/>
      <c r="E404" s="169"/>
      <c r="F404" s="1"/>
      <c r="G404" s="1"/>
      <c r="H404" s="1"/>
      <c r="I404" s="53"/>
      <c r="J404" s="117"/>
      <c r="K404" s="16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customFormat="false" ht="23.8" hidden="false" customHeight="true" outlineLevel="0" collapsed="false">
      <c r="A405" s="1"/>
      <c r="B405" s="1"/>
      <c r="C405" s="170"/>
      <c r="D405" s="174"/>
      <c r="E405" s="170"/>
      <c r="F405" s="171"/>
      <c r="G405" s="171"/>
      <c r="H405" s="171"/>
      <c r="I405" s="171"/>
      <c r="J405" s="171"/>
      <c r="K405" s="253"/>
      <c r="L405" s="170"/>
      <c r="M405" s="1"/>
      <c r="N405" s="1"/>
      <c r="O405" s="1"/>
      <c r="P405" s="1"/>
      <c r="Q405" s="166" t="s">
        <v>251</v>
      </c>
      <c r="R405" s="167"/>
      <c r="S405" s="169"/>
      <c r="T405" s="237" t="s">
        <v>252</v>
      </c>
      <c r="U405" s="1"/>
      <c r="V405" s="1"/>
      <c r="W405" s="1"/>
      <c r="X405" s="1"/>
      <c r="Y405" s="1"/>
      <c r="Z405" s="201" t="s">
        <v>165</v>
      </c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customFormat="false" ht="23.8" hidden="false" customHeight="true" outlineLevel="0" collapsed="false">
      <c r="A406" s="172" t="s">
        <v>163</v>
      </c>
      <c r="B406" s="1"/>
      <c r="C406" s="173"/>
      <c r="D406" s="174" t="s">
        <v>164</v>
      </c>
      <c r="E406" s="173"/>
      <c r="F406" s="171"/>
      <c r="G406" s="176"/>
      <c r="H406" s="175" t="s">
        <v>119</v>
      </c>
      <c r="I406" s="170"/>
      <c r="J406" s="170"/>
      <c r="K406" s="170"/>
      <c r="L406" s="170"/>
      <c r="M406" s="1"/>
      <c r="N406" s="1"/>
      <c r="O406" s="1"/>
      <c r="P406" s="1"/>
      <c r="Q406" s="238" t="s">
        <v>165</v>
      </c>
      <c r="R406" s="170"/>
      <c r="S406" s="239"/>
      <c r="T406" s="170"/>
      <c r="U406" s="170"/>
      <c r="V406" s="1"/>
      <c r="W406" s="1"/>
      <c r="X406" s="1"/>
      <c r="Y406" s="1"/>
      <c r="Z406" s="1"/>
      <c r="AA406" s="1"/>
      <c r="AB406" s="1"/>
      <c r="AC406" s="1"/>
      <c r="AD406" s="1"/>
      <c r="AE406" s="240" t="s">
        <v>165</v>
      </c>
      <c r="AF406" s="170"/>
      <c r="AG406" s="241"/>
      <c r="AH406" s="254" t="s">
        <v>260</v>
      </c>
      <c r="AI406" s="170"/>
      <c r="AJ406" s="170"/>
      <c r="AK406" s="170"/>
      <c r="AL406" s="170"/>
    </row>
    <row r="407" customFormat="false" ht="23.8" hidden="false" customHeight="true" outlineLevel="0" collapsed="false">
      <c r="A407" s="172" t="s">
        <v>166</v>
      </c>
      <c r="B407" s="1"/>
      <c r="C407" s="173"/>
      <c r="D407" s="173"/>
      <c r="E407" s="177"/>
      <c r="F407" s="171"/>
      <c r="G407" s="176"/>
      <c r="H407" s="176" t="s">
        <v>261</v>
      </c>
      <c r="I407" s="170"/>
      <c r="J407" s="170"/>
      <c r="K407" s="170"/>
      <c r="L407" s="170"/>
      <c r="M407" s="1"/>
      <c r="N407" s="1"/>
      <c r="O407" s="1"/>
      <c r="P407" s="1"/>
      <c r="Q407" s="242"/>
      <c r="R407" s="243" t="s">
        <v>255</v>
      </c>
      <c r="S407" s="170"/>
      <c r="T407" s="170"/>
      <c r="U407" s="170"/>
      <c r="V407" s="1"/>
      <c r="W407" s="1"/>
      <c r="X407" s="1"/>
      <c r="Y407" s="1"/>
      <c r="Z407" s="1"/>
      <c r="AA407" s="1"/>
      <c r="AB407" s="1"/>
      <c r="AC407" s="1"/>
      <c r="AD407" s="1"/>
      <c r="AE407" s="244"/>
      <c r="AF407" s="244" t="s">
        <v>262</v>
      </c>
      <c r="AG407" s="170"/>
      <c r="AH407" s="170"/>
      <c r="AI407" s="170"/>
      <c r="AJ407" s="170"/>
      <c r="AK407" s="170"/>
      <c r="AL407" s="170"/>
    </row>
    <row r="408" customFormat="false" ht="23.8" hidden="false" customHeight="true" outlineLevel="0" collapsed="false">
      <c r="A408" s="1"/>
      <c r="B408" s="1"/>
      <c r="C408" s="170"/>
      <c r="D408" s="173"/>
      <c r="E408" s="170"/>
      <c r="F408" s="177" t="s">
        <v>263</v>
      </c>
      <c r="G408" s="176"/>
      <c r="H408" s="170"/>
      <c r="I408" s="170"/>
      <c r="J408" s="170"/>
      <c r="K408" s="175"/>
      <c r="L408" s="170"/>
      <c r="M408" s="1"/>
      <c r="N408" s="179"/>
      <c r="O408" s="1"/>
      <c r="P408" s="1"/>
      <c r="Q408" s="170"/>
      <c r="R408" s="170"/>
      <c r="S408" s="170"/>
      <c r="T408" s="170"/>
      <c r="U408" s="170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255"/>
      <c r="AG408" s="1"/>
      <c r="AH408" s="246"/>
      <c r="AI408" s="1"/>
      <c r="AJ408" s="1"/>
      <c r="AK408" s="1"/>
      <c r="AL408" s="1"/>
    </row>
    <row r="409" customFormat="false" ht="23.8" hidden="false" customHeight="true" outlineLevel="0" collapsed="false">
      <c r="A409" s="1"/>
      <c r="B409" s="1"/>
      <c r="C409" s="170"/>
      <c r="D409" s="170"/>
      <c r="E409" s="177"/>
      <c r="F409" s="171"/>
      <c r="G409" s="170"/>
      <c r="H409" s="170"/>
      <c r="I409" s="170"/>
      <c r="J409" s="170"/>
      <c r="K409" s="170"/>
      <c r="L409" s="170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customFormat="false" ht="23.8" hidden="false" customHeight="true" outlineLevel="0" collapsed="false">
      <c r="A410" s="1"/>
      <c r="B410" s="1"/>
      <c r="C410" s="170"/>
      <c r="D410" s="173"/>
      <c r="E410" s="170"/>
      <c r="F410" s="170"/>
      <c r="G410" s="170"/>
      <c r="H410" s="170"/>
      <c r="I410" s="170"/>
      <c r="J410" s="170"/>
      <c r="K410" s="170"/>
      <c r="L410" s="170"/>
      <c r="M410" s="1"/>
      <c r="N410" s="18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customFormat="false" ht="19.3" hidden="false" customHeight="true" outlineLevel="0" collapsed="false">
      <c r="A411" s="1"/>
      <c r="B411" s="1"/>
      <c r="C411" s="1"/>
      <c r="D411" s="1"/>
      <c r="E411" s="131"/>
      <c r="F411" s="131"/>
      <c r="G411" s="131"/>
      <c r="H411" s="131"/>
      <c r="I411" s="1"/>
      <c r="J411" s="1"/>
      <c r="K411" s="1"/>
      <c r="L411" s="1"/>
      <c r="M411" s="1"/>
      <c r="N411" s="1"/>
      <c r="O411" s="1"/>
      <c r="P411" s="1"/>
      <c r="Q411" s="182" t="n">
        <v>195</v>
      </c>
      <c r="R411" s="182" t="n">
        <v>210</v>
      </c>
      <c r="S411" s="182" t="n">
        <v>225</v>
      </c>
      <c r="T411" s="182" t="n">
        <v>240</v>
      </c>
      <c r="U411" s="182" t="n">
        <v>255</v>
      </c>
      <c r="V411" s="182" t="n">
        <v>270</v>
      </c>
      <c r="W411" s="182" t="n">
        <v>285</v>
      </c>
      <c r="X411" s="182" t="n">
        <v>300</v>
      </c>
      <c r="Y411" s="182" t="n">
        <v>315</v>
      </c>
      <c r="Z411" s="182" t="n">
        <v>330</v>
      </c>
      <c r="AA411" s="182" t="n">
        <v>345</v>
      </c>
      <c r="AB411" s="183" t="n">
        <v>359.99</v>
      </c>
      <c r="AC411" s="184" t="n">
        <v>360</v>
      </c>
      <c r="AD411" s="185" t="s">
        <v>169</v>
      </c>
      <c r="AE411" s="1"/>
      <c r="AF411" s="1"/>
      <c r="AG411" s="1"/>
      <c r="AH411" s="1"/>
      <c r="AI411" s="1"/>
      <c r="AJ411" s="1"/>
      <c r="AK411" s="1"/>
      <c r="AL411" s="1"/>
    </row>
    <row r="412" customFormat="false" ht="19.3" hidden="false" customHeight="true" outlineLevel="0" collapsed="false">
      <c r="A412" s="1"/>
      <c r="B412" s="186"/>
      <c r="C412" s="187" t="s">
        <v>171</v>
      </c>
      <c r="D412" s="188" t="n">
        <v>0.001</v>
      </c>
      <c r="E412" s="182" t="n">
        <v>15</v>
      </c>
      <c r="F412" s="182" t="n">
        <v>30</v>
      </c>
      <c r="G412" s="182" t="n">
        <v>45</v>
      </c>
      <c r="H412" s="182" t="n">
        <v>60</v>
      </c>
      <c r="I412" s="182" t="n">
        <v>75</v>
      </c>
      <c r="J412" s="182" t="n">
        <v>90</v>
      </c>
      <c r="K412" s="182" t="n">
        <v>105</v>
      </c>
      <c r="L412" s="182" t="n">
        <v>120</v>
      </c>
      <c r="M412" s="182" t="n">
        <v>135</v>
      </c>
      <c r="N412" s="182" t="n">
        <v>150</v>
      </c>
      <c r="O412" s="182" t="n">
        <v>165</v>
      </c>
      <c r="P412" s="182" t="n">
        <v>180</v>
      </c>
      <c r="Q412" s="189" t="n">
        <v>-165</v>
      </c>
      <c r="R412" s="189" t="n">
        <v>-150</v>
      </c>
      <c r="S412" s="189" t="n">
        <v>-135</v>
      </c>
      <c r="T412" s="189" t="n">
        <v>-120</v>
      </c>
      <c r="U412" s="189" t="n">
        <v>-105</v>
      </c>
      <c r="V412" s="189" t="n">
        <v>-90</v>
      </c>
      <c r="W412" s="189" t="n">
        <v>-75</v>
      </c>
      <c r="X412" s="189" t="n">
        <v>-60</v>
      </c>
      <c r="Y412" s="189" t="n">
        <v>-45</v>
      </c>
      <c r="Z412" s="189" t="n">
        <v>-30</v>
      </c>
      <c r="AA412" s="189" t="n">
        <v>-15</v>
      </c>
      <c r="AB412" s="183" t="n">
        <v>-0.01</v>
      </c>
      <c r="AC412" s="184" t="n">
        <v>0</v>
      </c>
      <c r="AD412" s="184" t="n">
        <v>0</v>
      </c>
      <c r="AE412" s="1"/>
      <c r="AF412" s="1"/>
      <c r="AG412" s="1"/>
      <c r="AH412" s="1"/>
      <c r="AI412" s="1"/>
      <c r="AJ412" s="1"/>
      <c r="AK412" s="1"/>
      <c r="AL412" s="1"/>
    </row>
    <row r="413" customFormat="false" ht="19.3" hidden="false" customHeight="true" outlineLevel="0" collapsed="false">
      <c r="A413" s="190"/>
      <c r="B413" s="191" t="s">
        <v>173</v>
      </c>
      <c r="C413" s="1"/>
      <c r="D413" s="192" t="n">
        <f aca="false">RADIANS(MOD(D412-180,-360)+180)</f>
        <v>1.74532925200266E-005</v>
      </c>
      <c r="E413" s="192" t="n">
        <f aca="false">RADIANS(MOD(E412-180,-360)+180)</f>
        <v>0.261799387799149</v>
      </c>
      <c r="F413" s="192" t="n">
        <f aca="false">RADIANS(MOD(F412-180,-360)+180)</f>
        <v>0.523598775598299</v>
      </c>
      <c r="G413" s="192" t="n">
        <f aca="false">RADIANS(MOD(G412-180,-360)+180)</f>
        <v>0.785398163397448</v>
      </c>
      <c r="H413" s="192" t="n">
        <f aca="false">RADIANS(MOD(H412-180,-360)+180)</f>
        <v>1.0471975511966</v>
      </c>
      <c r="I413" s="192" t="n">
        <f aca="false">RADIANS(MOD(I412-180,-360)+180)</f>
        <v>1.30899693899575</v>
      </c>
      <c r="J413" s="192" t="n">
        <f aca="false">RADIANS(MOD(J412-180,-360)+180)</f>
        <v>1.5707963267949</v>
      </c>
      <c r="K413" s="192" t="n">
        <f aca="false">RADIANS(MOD(K412-180,-360)+180)</f>
        <v>1.83259571459405</v>
      </c>
      <c r="L413" s="192" t="n">
        <f aca="false">RADIANS(MOD(L412-180,-360)+180)</f>
        <v>2.0943951023932</v>
      </c>
      <c r="M413" s="192" t="n">
        <f aca="false">RADIANS(MOD(M412-180,-360)+180)</f>
        <v>2.35619449019234</v>
      </c>
      <c r="N413" s="192" t="n">
        <f aca="false">RADIANS(MOD(N412-180,-360)+180)</f>
        <v>2.61799387799149</v>
      </c>
      <c r="O413" s="192" t="n">
        <f aca="false">RADIANS(MOD(O412-180,-360)+180)</f>
        <v>2.87979326579064</v>
      </c>
      <c r="P413" s="192" t="n">
        <f aca="false">RADIANS(MOD(P412-180,-360)+180)</f>
        <v>3.14159265358979</v>
      </c>
      <c r="Q413" s="193" t="n">
        <f aca="false">RADIANS(MOD(Q412-180,-360)+180)</f>
        <v>-2.87979326579064</v>
      </c>
      <c r="R413" s="193" t="n">
        <f aca="false">RADIANS(MOD(R412-180,-360)+180)</f>
        <v>-2.61799387799149</v>
      </c>
      <c r="S413" s="193" t="n">
        <f aca="false">RADIANS(MOD(S412-180,-360)+180)</f>
        <v>-2.35619449019234</v>
      </c>
      <c r="T413" s="193" t="n">
        <f aca="false">RADIANS(MOD(T412-180,-360)+180)</f>
        <v>-2.0943951023932</v>
      </c>
      <c r="U413" s="193" t="n">
        <f aca="false">RADIANS(MOD(U412-180,-360)+180)</f>
        <v>-1.83259571459405</v>
      </c>
      <c r="V413" s="193" t="n">
        <f aca="false">RADIANS(MOD(V412-180,-360)+180)</f>
        <v>-1.5707963267949</v>
      </c>
      <c r="W413" s="193" t="n">
        <f aca="false">RADIANS(MOD(W412-180,-360)+180)</f>
        <v>-1.30899693899575</v>
      </c>
      <c r="X413" s="193" t="n">
        <f aca="false">RADIANS(MOD(X412-180,-360)+180)</f>
        <v>-1.0471975511966</v>
      </c>
      <c r="Y413" s="193" t="n">
        <f aca="false">RADIANS(MOD(Y412-180,-360)+180)</f>
        <v>-0.785398163397448</v>
      </c>
      <c r="Z413" s="193" t="n">
        <f aca="false">RADIANS(MOD(Z412-180,-360)+180)</f>
        <v>-0.523598775598299</v>
      </c>
      <c r="AA413" s="193" t="n">
        <f aca="false">RADIANS(MOD(AA412-180,-360)+180)</f>
        <v>-0.261799387799149</v>
      </c>
      <c r="AB413" s="193" t="n">
        <f aca="false">RADIANS(MOD(AB412-180,-360)+180)</f>
        <v>-0.000174532925199274</v>
      </c>
      <c r="AC413" s="193" t="n">
        <f aca="false">RADIANS(MOD(AC412-180,-360)+180)</f>
        <v>0</v>
      </c>
      <c r="AD413" s="193" t="n">
        <f aca="false">RADIANS(MOD(AD412-180,-360)+180)</f>
        <v>0</v>
      </c>
      <c r="AE413" s="1"/>
      <c r="AF413" s="1"/>
      <c r="AG413" s="1"/>
      <c r="AH413" s="1"/>
      <c r="AI413" s="1"/>
      <c r="AJ413" s="1"/>
      <c r="AK413" s="1"/>
      <c r="AL413" s="1"/>
    </row>
    <row r="414" customFormat="false" ht="12.75" hidden="false" customHeight="true" outlineLevel="0" collapsed="false">
      <c r="A414" s="192" t="n">
        <f aca="false">RADIANS(MOD(B414-180,-360)+180)</f>
        <v>1.74532925200266E-005</v>
      </c>
      <c r="B414" s="188" t="n">
        <v>0.001</v>
      </c>
      <c r="C414" s="1"/>
      <c r="D414" s="256" t="n">
        <f aca="false">DEGREES( ACOS( COS(D$413)  /   SQRT( 1 + ( TAN($A414))^2 )))</f>
        <v>0.00141421335714274</v>
      </c>
      <c r="E414" s="256" t="n">
        <f aca="false">DEGREES( ACOS( COS(E$413)  /   SQRT( 1 + ( TAN($A414))^2 )))</f>
        <v>15.0000000325683</v>
      </c>
      <c r="F414" s="256" t="n">
        <f aca="false">DEGREES( ACOS( COS(F$413)  /   SQRT( 1 + ( TAN($A414))^2 )))</f>
        <v>30.000000015115</v>
      </c>
      <c r="G414" s="256" t="n">
        <f aca="false">DEGREES( ACOS( COS(G$413)  /   SQRT( 1 + ( TAN($A414))^2 )))</f>
        <v>45.0000000087266</v>
      </c>
      <c r="H414" s="256" t="n">
        <f aca="false">DEGREES( ACOS( COS(H$413)  /   SQRT( 1 + ( TAN($A414))^2 )))</f>
        <v>60.0000000050383</v>
      </c>
      <c r="I414" s="256" t="n">
        <f aca="false">DEGREES( ACOS( COS(I$413)  /   SQRT( 1 + ( TAN($A414))^2 )))</f>
        <v>75.0000000023383</v>
      </c>
      <c r="J414" s="256" t="n">
        <f aca="false">DEGREES( ACOS( COS(J$413)  /   SQRT( 1 + ( TAN($A414))^2 )))</f>
        <v>90</v>
      </c>
      <c r="K414" s="256" t="n">
        <f aca="false">DEGREES( ACOS( COS(K$413)  /   SQRT( 1 + ( TAN($A414))^2 )))</f>
        <v>104.999999997662</v>
      </c>
      <c r="L414" s="256" t="n">
        <f aca="false">DEGREES( ACOS( COS(L$413)  /   SQRT( 1 + ( TAN($A414))^2 )))</f>
        <v>119.999999994962</v>
      </c>
      <c r="M414" s="256" t="n">
        <f aca="false">DEGREES( ACOS( COS(M$413)  /   SQRT( 1 + ( TAN($A414))^2 )))</f>
        <v>134.999999991273</v>
      </c>
      <c r="N414" s="256" t="n">
        <f aca="false">DEGREES( ACOS( COS(N$413)  /   SQRT( 1 + ( TAN($A414))^2 )))</f>
        <v>149.999999984885</v>
      </c>
      <c r="O414" s="256" t="n">
        <f aca="false">DEGREES( ACOS( COS(O$413)  /   SQRT( 1 + ( TAN($A414))^2 )))</f>
        <v>164.999999967432</v>
      </c>
      <c r="P414" s="256" t="n">
        <f aca="false">DEGREES( ACOS( COS(P$413)  /   SQRT( 1 + ( TAN($A414))^2 )))</f>
        <v>179.999000000327</v>
      </c>
      <c r="Q414" s="256" t="n">
        <f aca="false">DEGREES( ACOS( COS(Q$413)  /   SQRT( 1 + ( TAN($A414))^2 )))</f>
        <v>164.999999967432</v>
      </c>
      <c r="R414" s="256" t="n">
        <f aca="false">DEGREES( ACOS( COS(R$413)  /   SQRT( 1 + ( TAN($A414))^2 )))</f>
        <v>149.999999984885</v>
      </c>
      <c r="S414" s="256" t="n">
        <f aca="false">DEGREES( ACOS( COS(S$413)  /   SQRT( 1 + ( TAN($A414))^2 )))</f>
        <v>134.999999991273</v>
      </c>
      <c r="T414" s="256" t="n">
        <f aca="false">DEGREES( ACOS( COS(T$413)  /   SQRT( 1 + ( TAN($A414))^2 )))</f>
        <v>119.999999994962</v>
      </c>
      <c r="U414" s="256" t="n">
        <f aca="false">DEGREES( ACOS( COS(U$413)  /   SQRT( 1 + ( TAN($A414))^2 )))</f>
        <v>104.999999997662</v>
      </c>
      <c r="V414" s="256" t="n">
        <f aca="false">DEGREES( ACOS( COS(V$413)  /   SQRT( 1 + ( TAN($A414))^2 )))</f>
        <v>90</v>
      </c>
      <c r="W414" s="256" t="n">
        <f aca="false">DEGREES( ACOS( COS(W$413)  /   SQRT( 1 + ( TAN($A414))^2 )))</f>
        <v>75.0000000023383</v>
      </c>
      <c r="X414" s="256" t="n">
        <f aca="false">DEGREES( ACOS( COS(X$413)  /   SQRT( 1 + ( TAN($A414))^2 )))</f>
        <v>60.0000000050383</v>
      </c>
      <c r="Y414" s="256" t="n">
        <f aca="false">DEGREES( ACOS( COS(Y$413)  /   SQRT( 1 + ( TAN($A414))^2 )))</f>
        <v>45.0000000087266</v>
      </c>
      <c r="Z414" s="256" t="n">
        <f aca="false">DEGREES( ACOS( COS(Z$413)  /   SQRT( 1 + ( TAN($A414))^2 )))</f>
        <v>30.000000015115</v>
      </c>
      <c r="AA414" s="256" t="n">
        <f aca="false">DEGREES( ACOS( COS(AA$413)  /   SQRT( 1 + ( TAN($A414))^2 )))</f>
        <v>15.0000000325683</v>
      </c>
      <c r="AB414" s="256" t="n">
        <f aca="false">DEGREES( ACOS( COS(AB$413)  /   SQRT( 1 + ( TAN($A414))^2 )))</f>
        <v>0.0100498755715388</v>
      </c>
      <c r="AC414" s="195" t="n">
        <f aca="false">DEGREES( ACOS( COS(AC$413)  /   SQRT( 1 + ( TAN($A414))^2 )  * SIGN( COS($A414))))</f>
        <v>0.000999999672635126</v>
      </c>
      <c r="AD414" s="195" t="n">
        <f aca="false">DEGREES( ACOS( COS(AD$413)  /   SQRT( 1 + ( TAN($A414))^2 )  * SIGN( COS($A414))))</f>
        <v>0.000999999672635126</v>
      </c>
      <c r="AE414" s="1"/>
      <c r="AF414" s="1"/>
      <c r="AG414" s="1"/>
      <c r="AH414" s="1"/>
      <c r="AI414" s="1"/>
      <c r="AJ414" s="1"/>
      <c r="AK414" s="1"/>
      <c r="AL414" s="1"/>
    </row>
    <row r="415" customFormat="false" ht="12.75" hidden="false" customHeight="true" outlineLevel="0" collapsed="false">
      <c r="A415" s="192" t="n">
        <f aca="false">RADIANS(MOD(B415-180,-360)+180)</f>
        <v>0.261799387799149</v>
      </c>
      <c r="B415" s="182" t="n">
        <v>15</v>
      </c>
      <c r="C415" s="1"/>
      <c r="D415" s="256" t="n">
        <f aca="false">DEGREES( ACOS( COS(D$413)  /   SQRT( 1 + ( TAN($A415))^2 )))</f>
        <v>15.0000000325683</v>
      </c>
      <c r="E415" s="210" t="n">
        <f aca="false">DEGREES( ACOS( COS(E$413)  /   SQRT( 1 + ( TAN($A415))^2 )))</f>
        <v>21.0905811789991</v>
      </c>
      <c r="F415" s="210" t="n">
        <f aca="false">DEGREES( ACOS( COS(F$413)  /   SQRT( 1 + ( TAN($A415))^2 )))</f>
        <v>33.2259422032876</v>
      </c>
      <c r="G415" s="210" t="n">
        <f aca="false">DEGREES( ACOS( COS(G$413)  /   SQRT( 1 + ( TAN($A415))^2 )))</f>
        <v>46.9204828581291</v>
      </c>
      <c r="H415" s="210" t="n">
        <f aca="false">DEGREES( ACOS( COS(H$413)  /   SQRT( 1 + ( TAN($A415))^2 )))</f>
        <v>61.1209059825724</v>
      </c>
      <c r="I415" s="210" t="n">
        <f aca="false">DEGREES( ACOS( COS(I$413)  /   SQRT( 1 + ( TAN($A415))^2 )))</f>
        <v>75.5224878140701</v>
      </c>
      <c r="J415" s="256" t="n">
        <f aca="false">DEGREES( ACOS( COS(J$413)  /   SQRT( 1 + ( TAN($A415))^2 )))</f>
        <v>90</v>
      </c>
      <c r="K415" s="210" t="n">
        <f aca="false">DEGREES( ACOS( COS(K$413)  /   SQRT( 1 + ( TAN($A415))^2 )))</f>
        <v>104.47751218593</v>
      </c>
      <c r="L415" s="210" t="n">
        <f aca="false">DEGREES( ACOS( COS(L$413)  /   SQRT( 1 + ( TAN($A415))^2 )))</f>
        <v>118.879094017428</v>
      </c>
      <c r="M415" s="210" t="n">
        <f aca="false">DEGREES( ACOS( COS(M$413)  /   SQRT( 1 + ( TAN($A415))^2 )))</f>
        <v>133.079517141871</v>
      </c>
      <c r="N415" s="210" t="n">
        <f aca="false">DEGREES( ACOS( COS(N$413)  /   SQRT( 1 + ( TAN($A415))^2 )))</f>
        <v>146.774057796712</v>
      </c>
      <c r="O415" s="210" t="n">
        <f aca="false">DEGREES( ACOS( COS(O$413)  /   SQRT( 1 + ( TAN($A415))^2 )))</f>
        <v>158.909418821001</v>
      </c>
      <c r="P415" s="256" t="n">
        <f aca="false">DEGREES( ACOS( COS(P$413)  /   SQRT( 1 + ( TAN($A415))^2 )))</f>
        <v>165</v>
      </c>
      <c r="Q415" s="210" t="n">
        <f aca="false">DEGREES( ACOS( COS(Q$413)  /   SQRT( 1 + ( TAN($A415))^2 )))</f>
        <v>158.909418821001</v>
      </c>
      <c r="R415" s="210" t="n">
        <f aca="false">DEGREES( ACOS( COS(R$413)  /   SQRT( 1 + ( TAN($A415))^2 )))</f>
        <v>146.774057796712</v>
      </c>
      <c r="S415" s="210" t="n">
        <f aca="false">DEGREES( ACOS( COS(S$413)  /   SQRT( 1 + ( TAN($A415))^2 )))</f>
        <v>133.079517141871</v>
      </c>
      <c r="T415" s="210" t="n">
        <f aca="false">DEGREES( ACOS( COS(T$413)  /   SQRT( 1 + ( TAN($A415))^2 )))</f>
        <v>118.879094017428</v>
      </c>
      <c r="U415" s="210" t="n">
        <f aca="false">DEGREES( ACOS( COS(U$413)  /   SQRT( 1 + ( TAN($A415))^2 )))</f>
        <v>104.47751218593</v>
      </c>
      <c r="V415" s="256" t="n">
        <f aca="false">DEGREES( ACOS( COS(V$413)  /   SQRT( 1 + ( TAN($A415))^2 )))</f>
        <v>90</v>
      </c>
      <c r="W415" s="210" t="n">
        <f aca="false">DEGREES( ACOS( COS(W$413)  /   SQRT( 1 + ( TAN($A415))^2 )))</f>
        <v>75.5224878140701</v>
      </c>
      <c r="X415" s="210" t="n">
        <f aca="false">DEGREES( ACOS( COS(X$413)  /   SQRT( 1 + ( TAN($A415))^2 )))</f>
        <v>61.1209059825724</v>
      </c>
      <c r="Y415" s="210" t="n">
        <f aca="false">DEGREES( ACOS( COS(Y$413)  /   SQRT( 1 + ( TAN($A415))^2 )))</f>
        <v>46.9204828581291</v>
      </c>
      <c r="Z415" s="210" t="n">
        <f aca="false">DEGREES( ACOS( COS(Z$413)  /   SQRT( 1 + ( TAN($A415))^2 )))</f>
        <v>33.2259422032876</v>
      </c>
      <c r="AA415" s="210" t="n">
        <f aca="false">DEGREES( ACOS( COS(AA$413)  /   SQRT( 1 + ( TAN($A415))^2 )))</f>
        <v>21.0905811789991</v>
      </c>
      <c r="AB415" s="256" t="n">
        <f aca="false">DEGREES( ACOS( COS(AB$413)  /   SQRT( 1 + ( TAN($A415))^2 )))</f>
        <v>15.0000032568283</v>
      </c>
      <c r="AC415" s="195" t="n">
        <f aca="false">DEGREES( ACOS( COS(AC$413)  /   SQRT( 1 + ( TAN($A415))^2 )  * SIGN( COS($A415))))</f>
        <v>15</v>
      </c>
      <c r="AD415" s="195" t="n">
        <f aca="false">DEGREES( ACOS( COS(AD$413)  /   SQRT( 1 + ( TAN($A415))^2 )  * SIGN( COS($A415))))</f>
        <v>15</v>
      </c>
      <c r="AE415" s="1"/>
      <c r="AF415" s="1"/>
      <c r="AG415" s="1"/>
      <c r="AH415" s="1"/>
      <c r="AI415" s="1"/>
      <c r="AJ415" s="1"/>
      <c r="AK415" s="1"/>
      <c r="AL415" s="1"/>
    </row>
    <row r="416" customFormat="false" ht="12.75" hidden="false" customHeight="true" outlineLevel="0" collapsed="false">
      <c r="A416" s="192" t="n">
        <f aca="false">RADIANS(MOD(B416-180,-360)+180)</f>
        <v>0.523598775598299</v>
      </c>
      <c r="B416" s="182" t="n">
        <v>30</v>
      </c>
      <c r="C416" s="1"/>
      <c r="D416" s="256" t="n">
        <f aca="false">DEGREES( ACOS( COS(D$413)  /   SQRT( 1 + ( TAN($A416))^2 )))</f>
        <v>30.000000015115</v>
      </c>
      <c r="E416" s="210" t="n">
        <f aca="false">DEGREES( ACOS( COS(E$413)  /   SQRT( 1 + ( TAN($A416))^2 )))</f>
        <v>33.2259422032876</v>
      </c>
      <c r="F416" s="210" t="n">
        <f aca="false">DEGREES( ACOS( COS(F$413)  /   SQRT( 1 + ( TAN($A416))^2 )))</f>
        <v>41.4096221092709</v>
      </c>
      <c r="G416" s="210" t="n">
        <f aca="false">DEGREES( ACOS( COS(G$413)  /   SQRT( 1 + ( TAN($A416))^2 )))</f>
        <v>52.238756092965</v>
      </c>
      <c r="H416" s="210" t="n">
        <f aca="false">DEGREES( ACOS( COS(H$413)  /   SQRT( 1 + ( TAN($A416))^2 )))</f>
        <v>64.3410937267447</v>
      </c>
      <c r="I416" s="210" t="n">
        <f aca="false">DEGREES( ACOS( COS(I$413)  /   SQRT( 1 + ( TAN($A416))^2 )))</f>
        <v>77.0474603577776</v>
      </c>
      <c r="J416" s="256" t="n">
        <f aca="false">DEGREES( ACOS( COS(J$413)  /   SQRT( 1 + ( TAN($A416))^2 )))</f>
        <v>90</v>
      </c>
      <c r="K416" s="210" t="n">
        <f aca="false">DEGREES( ACOS( COS(K$413)  /   SQRT( 1 + ( TAN($A416))^2 )))</f>
        <v>102.952539642222</v>
      </c>
      <c r="L416" s="210" t="n">
        <f aca="false">DEGREES( ACOS( COS(L$413)  /   SQRT( 1 + ( TAN($A416))^2 )))</f>
        <v>115.658906273255</v>
      </c>
      <c r="M416" s="210" t="n">
        <f aca="false">DEGREES( ACOS( COS(M$413)  /   SQRT( 1 + ( TAN($A416))^2 )))</f>
        <v>127.761243907035</v>
      </c>
      <c r="N416" s="210" t="n">
        <f aca="false">DEGREES( ACOS( COS(N$413)  /   SQRT( 1 + ( TAN($A416))^2 )))</f>
        <v>138.590377890729</v>
      </c>
      <c r="O416" s="210" t="n">
        <f aca="false">DEGREES( ACOS( COS(O$413)  /   SQRT( 1 + ( TAN($A416))^2 )))</f>
        <v>146.774057796712</v>
      </c>
      <c r="P416" s="256" t="n">
        <f aca="false">DEGREES( ACOS( COS(P$413)  /   SQRT( 1 + ( TAN($A416))^2 )))</f>
        <v>150</v>
      </c>
      <c r="Q416" s="210" t="n">
        <f aca="false">DEGREES( ACOS( COS(Q$413)  /   SQRT( 1 + ( TAN($A416))^2 )))</f>
        <v>146.774057796712</v>
      </c>
      <c r="R416" s="210" t="n">
        <f aca="false">DEGREES( ACOS( COS(R$413)  /   SQRT( 1 + ( TAN($A416))^2 )))</f>
        <v>138.590377890729</v>
      </c>
      <c r="S416" s="210" t="n">
        <f aca="false">DEGREES( ACOS( COS(S$413)  /   SQRT( 1 + ( TAN($A416))^2 )))</f>
        <v>127.761243907035</v>
      </c>
      <c r="T416" s="210" t="n">
        <f aca="false">DEGREES( ACOS( COS(T$413)  /   SQRT( 1 + ( TAN($A416))^2 )))</f>
        <v>115.658906273255</v>
      </c>
      <c r="U416" s="210" t="n">
        <f aca="false">DEGREES( ACOS( COS(U$413)  /   SQRT( 1 + ( TAN($A416))^2 )))</f>
        <v>102.952539642222</v>
      </c>
      <c r="V416" s="256" t="n">
        <f aca="false">DEGREES( ACOS( COS(V$413)  /   SQRT( 1 + ( TAN($A416))^2 )))</f>
        <v>90</v>
      </c>
      <c r="W416" s="210" t="n">
        <f aca="false">DEGREES( ACOS( COS(W$413)  /   SQRT( 1 + ( TAN($A416))^2 )))</f>
        <v>77.0474603577776</v>
      </c>
      <c r="X416" s="210" t="n">
        <f aca="false">DEGREES( ACOS( COS(X$413)  /   SQRT( 1 + ( TAN($A416))^2 )))</f>
        <v>64.3410937267447</v>
      </c>
      <c r="Y416" s="210" t="n">
        <f aca="false">DEGREES( ACOS( COS(Y$413)  /   SQRT( 1 + ( TAN($A416))^2 )))</f>
        <v>52.238756092965</v>
      </c>
      <c r="Z416" s="210" t="n">
        <f aca="false">DEGREES( ACOS( COS(Z$413)  /   SQRT( 1 + ( TAN($A416))^2 )))</f>
        <v>41.4096221092709</v>
      </c>
      <c r="AA416" s="210" t="n">
        <f aca="false">DEGREES( ACOS( COS(AA$413)  /   SQRT( 1 + ( TAN($A416))^2 )))</f>
        <v>33.2259422032876</v>
      </c>
      <c r="AB416" s="256" t="n">
        <f aca="false">DEGREES( ACOS( COS(AB$413)  /   SQRT( 1 + ( TAN($A416))^2 )))</f>
        <v>30.0000015114994</v>
      </c>
      <c r="AC416" s="195" t="n">
        <f aca="false">DEGREES( ACOS( COS(AC$413)  /   SQRT( 1 + ( TAN($A416))^2 )  * SIGN( COS($A416))))</f>
        <v>30</v>
      </c>
      <c r="AD416" s="195" t="n">
        <f aca="false">DEGREES( ACOS( COS(AD$413)  /   SQRT( 1 + ( TAN($A416))^2 )  * SIGN( COS($A416))))</f>
        <v>30</v>
      </c>
      <c r="AE416" s="1"/>
      <c r="AF416" s="1"/>
      <c r="AG416" s="1"/>
      <c r="AH416" s="1"/>
      <c r="AI416" s="1"/>
      <c r="AJ416" s="1"/>
      <c r="AK416" s="1"/>
      <c r="AL416" s="1"/>
    </row>
    <row r="417" customFormat="false" ht="12.75" hidden="false" customHeight="true" outlineLevel="0" collapsed="false">
      <c r="A417" s="192" t="n">
        <f aca="false">RADIANS(MOD(B417-180,-360)+180)</f>
        <v>0.785398163397448</v>
      </c>
      <c r="B417" s="182" t="n">
        <v>45</v>
      </c>
      <c r="C417" s="1"/>
      <c r="D417" s="256" t="n">
        <f aca="false">DEGREES( ACOS( COS(D$413)  /   SQRT( 1 + ( TAN($A417))^2 )))</f>
        <v>45.0000000087267</v>
      </c>
      <c r="E417" s="210" t="n">
        <f aca="false">DEGREES( ACOS( COS(E$413)  /   SQRT( 1 + ( TAN($A417))^2 )))</f>
        <v>46.9204828581291</v>
      </c>
      <c r="F417" s="210" t="n">
        <f aca="false">DEGREES( ACOS( COS(F$413)  /   SQRT( 1 + ( TAN($A417))^2 )))</f>
        <v>52.238756092965</v>
      </c>
      <c r="G417" s="210" t="n">
        <f aca="false">DEGREES( ACOS( COS(G$413)  /   SQRT( 1 + ( TAN($A417))^2 )))</f>
        <v>60</v>
      </c>
      <c r="H417" s="210" t="n">
        <f aca="false">DEGREES( ACOS( COS(H$413)  /   SQRT( 1 + ( TAN($A417))^2 )))</f>
        <v>69.2951889453646</v>
      </c>
      <c r="I417" s="210" t="n">
        <f aca="false">DEGREES( ACOS( COS(I$413)  /   SQRT( 1 + ( TAN($A417))^2 )))</f>
        <v>79.4547094105004</v>
      </c>
      <c r="J417" s="256" t="n">
        <f aca="false">DEGREES( ACOS( COS(J$413)  /   SQRT( 1 + ( TAN($A417))^2 )))</f>
        <v>90</v>
      </c>
      <c r="K417" s="210" t="n">
        <f aca="false">DEGREES( ACOS( COS(K$413)  /   SQRT( 1 + ( TAN($A417))^2 )))</f>
        <v>100.5452905895</v>
      </c>
      <c r="L417" s="210" t="n">
        <f aca="false">DEGREES( ACOS( COS(L$413)  /   SQRT( 1 + ( TAN($A417))^2 )))</f>
        <v>110.704811054635</v>
      </c>
      <c r="M417" s="210" t="n">
        <f aca="false">DEGREES( ACOS( COS(M$413)  /   SQRT( 1 + ( TAN($A417))^2 )))</f>
        <v>120</v>
      </c>
      <c r="N417" s="210" t="n">
        <f aca="false">DEGREES( ACOS( COS(N$413)  /   SQRT( 1 + ( TAN($A417))^2 )))</f>
        <v>127.761243907035</v>
      </c>
      <c r="O417" s="210" t="n">
        <f aca="false">DEGREES( ACOS( COS(O$413)  /   SQRT( 1 + ( TAN($A417))^2 )))</f>
        <v>133.079517141871</v>
      </c>
      <c r="P417" s="256" t="n">
        <f aca="false">DEGREES( ACOS( COS(P$413)  /   SQRT( 1 + ( TAN($A417))^2 )))</f>
        <v>135</v>
      </c>
      <c r="Q417" s="210" t="n">
        <f aca="false">DEGREES( ACOS( COS(Q$413)  /   SQRT( 1 + ( TAN($A417))^2 )))</f>
        <v>133.079517141871</v>
      </c>
      <c r="R417" s="210" t="n">
        <f aca="false">DEGREES( ACOS( COS(R$413)  /   SQRT( 1 + ( TAN($A417))^2 )))</f>
        <v>127.761243907035</v>
      </c>
      <c r="S417" s="210" t="n">
        <f aca="false">DEGREES( ACOS( COS(S$413)  /   SQRT( 1 + ( TAN($A417))^2 )))</f>
        <v>120</v>
      </c>
      <c r="T417" s="210" t="n">
        <f aca="false">DEGREES( ACOS( COS(T$413)  /   SQRT( 1 + ( TAN($A417))^2 )))</f>
        <v>110.704811054635</v>
      </c>
      <c r="U417" s="210" t="n">
        <f aca="false">DEGREES( ACOS( COS(U$413)  /   SQRT( 1 + ( TAN($A417))^2 )))</f>
        <v>100.5452905895</v>
      </c>
      <c r="V417" s="256" t="n">
        <f aca="false">DEGREES( ACOS( COS(V$413)  /   SQRT( 1 + ( TAN($A417))^2 )))</f>
        <v>90</v>
      </c>
      <c r="W417" s="210" t="n">
        <f aca="false">DEGREES( ACOS( COS(W$413)  /   SQRT( 1 + ( TAN($A417))^2 )))</f>
        <v>79.4547094105004</v>
      </c>
      <c r="X417" s="210" t="n">
        <f aca="false">DEGREES( ACOS( COS(X$413)  /   SQRT( 1 + ( TAN($A417))^2 )))</f>
        <v>69.2951889453646</v>
      </c>
      <c r="Y417" s="210" t="n">
        <f aca="false">DEGREES( ACOS( COS(Y$413)  /   SQRT( 1 + ( TAN($A417))^2 )))</f>
        <v>60</v>
      </c>
      <c r="Z417" s="210" t="n">
        <f aca="false">DEGREES( ACOS( COS(Z$413)  /   SQRT( 1 + ( TAN($A417))^2 )))</f>
        <v>52.238756092965</v>
      </c>
      <c r="AA417" s="210" t="n">
        <f aca="false">DEGREES( ACOS( COS(AA$413)  /   SQRT( 1 + ( TAN($A417))^2 )))</f>
        <v>46.9204828581291</v>
      </c>
      <c r="AB417" s="256" t="n">
        <f aca="false">DEGREES( ACOS( COS(AB$413)  /   SQRT( 1 + ( TAN($A417))^2 )))</f>
        <v>45.0000008726646</v>
      </c>
      <c r="AC417" s="195" t="n">
        <f aca="false">DEGREES( ACOS( COS(AC$413)  /   SQRT( 1 + ( TAN($A417))^2 )  * SIGN( COS($A417))))</f>
        <v>45</v>
      </c>
      <c r="AD417" s="195" t="n">
        <f aca="false">DEGREES( ACOS( COS(AD$413)  /   SQRT( 1 + ( TAN($A417))^2 )  * SIGN( COS($A417))))</f>
        <v>45</v>
      </c>
      <c r="AE417" s="1"/>
      <c r="AF417" s="1"/>
      <c r="AG417" s="1"/>
      <c r="AH417" s="1"/>
      <c r="AI417" s="1"/>
      <c r="AJ417" s="1"/>
      <c r="AK417" s="1"/>
      <c r="AL417" s="1"/>
    </row>
    <row r="418" customFormat="false" ht="12.75" hidden="false" customHeight="true" outlineLevel="0" collapsed="false">
      <c r="A418" s="192" t="n">
        <f aca="false">RADIANS(MOD(B418-180,-360)+180)</f>
        <v>1.0471975511966</v>
      </c>
      <c r="B418" s="182" t="n">
        <v>60</v>
      </c>
      <c r="C418" s="1"/>
      <c r="D418" s="256" t="n">
        <f aca="false">DEGREES( ACOS( COS(D$413)  /   SQRT( 1 + ( TAN($A418))^2 )))</f>
        <v>60.0000000050383</v>
      </c>
      <c r="E418" s="210" t="n">
        <f aca="false">DEGREES( ACOS( COS(E$413)  /   SQRT( 1 + ( TAN($A418))^2 )))</f>
        <v>61.1209059825724</v>
      </c>
      <c r="F418" s="210" t="n">
        <f aca="false">DEGREES( ACOS( COS(F$413)  /   SQRT( 1 + ( TAN($A418))^2 )))</f>
        <v>64.3410937267447</v>
      </c>
      <c r="G418" s="210" t="n">
        <f aca="false">DEGREES( ACOS( COS(G$413)  /   SQRT( 1 + ( TAN($A418))^2 )))</f>
        <v>69.2951889453646</v>
      </c>
      <c r="H418" s="210" t="n">
        <f aca="false">DEGREES( ACOS( COS(H$413)  /   SQRT( 1 + ( TAN($A418))^2 )))</f>
        <v>75.5224878140701</v>
      </c>
      <c r="I418" s="210" t="n">
        <f aca="false">DEGREES( ACOS( COS(I$413)  /   SQRT( 1 + ( TAN($A418))^2 )))</f>
        <v>82.5645277738682</v>
      </c>
      <c r="J418" s="256" t="n">
        <f aca="false">DEGREES( ACOS( COS(J$413)  /   SQRT( 1 + ( TAN($A418))^2 )))</f>
        <v>90</v>
      </c>
      <c r="K418" s="210" t="n">
        <f aca="false">DEGREES( ACOS( COS(K$413)  /   SQRT( 1 + ( TAN($A418))^2 )))</f>
        <v>97.4354722261319</v>
      </c>
      <c r="L418" s="210" t="n">
        <f aca="false">DEGREES( ACOS( COS(L$413)  /   SQRT( 1 + ( TAN($A418))^2 )))</f>
        <v>104.47751218593</v>
      </c>
      <c r="M418" s="210" t="n">
        <f aca="false">DEGREES( ACOS( COS(M$413)  /   SQRT( 1 + ( TAN($A418))^2 )))</f>
        <v>110.704811054635</v>
      </c>
      <c r="N418" s="210" t="n">
        <f aca="false">DEGREES( ACOS( COS(N$413)  /   SQRT( 1 + ( TAN($A418))^2 )))</f>
        <v>115.658906273255</v>
      </c>
      <c r="O418" s="210" t="n">
        <f aca="false">DEGREES( ACOS( COS(O$413)  /   SQRT( 1 + ( TAN($A418))^2 )))</f>
        <v>118.879094017428</v>
      </c>
      <c r="P418" s="256" t="n">
        <f aca="false">DEGREES( ACOS( COS(P$413)  /   SQRT( 1 + ( TAN($A418))^2 )))</f>
        <v>120</v>
      </c>
      <c r="Q418" s="210" t="n">
        <f aca="false">DEGREES( ACOS( COS(Q$413)  /   SQRT( 1 + ( TAN($A418))^2 )))</f>
        <v>118.879094017428</v>
      </c>
      <c r="R418" s="210" t="n">
        <f aca="false">DEGREES( ACOS( COS(R$413)  /   SQRT( 1 + ( TAN($A418))^2 )))</f>
        <v>115.658906273255</v>
      </c>
      <c r="S418" s="210" t="n">
        <f aca="false">DEGREES( ACOS( COS(S$413)  /   SQRT( 1 + ( TAN($A418))^2 )))</f>
        <v>110.704811054635</v>
      </c>
      <c r="T418" s="210" t="n">
        <f aca="false">DEGREES( ACOS( COS(T$413)  /   SQRT( 1 + ( TAN($A418))^2 )))</f>
        <v>104.47751218593</v>
      </c>
      <c r="U418" s="210" t="n">
        <f aca="false">DEGREES( ACOS( COS(U$413)  /   SQRT( 1 + ( TAN($A418))^2 )))</f>
        <v>97.4354722261319</v>
      </c>
      <c r="V418" s="256" t="n">
        <f aca="false">DEGREES( ACOS( COS(V$413)  /   SQRT( 1 + ( TAN($A418))^2 )))</f>
        <v>90</v>
      </c>
      <c r="W418" s="210" t="n">
        <f aca="false">DEGREES( ACOS( COS(W$413)  /   SQRT( 1 + ( TAN($A418))^2 )))</f>
        <v>82.5645277738682</v>
      </c>
      <c r="X418" s="210" t="n">
        <f aca="false">DEGREES( ACOS( COS(X$413)  /   SQRT( 1 + ( TAN($A418))^2 )))</f>
        <v>75.5224878140701</v>
      </c>
      <c r="Y418" s="210" t="n">
        <f aca="false">DEGREES( ACOS( COS(Y$413)  /   SQRT( 1 + ( TAN($A418))^2 )))</f>
        <v>69.2951889453646</v>
      </c>
      <c r="Z418" s="210" t="n">
        <f aca="false">DEGREES( ACOS( COS(Z$413)  /   SQRT( 1 + ( TAN($A418))^2 )))</f>
        <v>64.3410937267447</v>
      </c>
      <c r="AA418" s="210" t="n">
        <f aca="false">DEGREES( ACOS( COS(AA$413)  /   SQRT( 1 + ( TAN($A418))^2 )))</f>
        <v>61.1209059825724</v>
      </c>
      <c r="AB418" s="256" t="n">
        <f aca="false">DEGREES( ACOS( COS(AB$413)  /   SQRT( 1 + ( TAN($A418))^2 )))</f>
        <v>60.0000005038332</v>
      </c>
      <c r="AC418" s="195" t="n">
        <f aca="false">DEGREES( ACOS( COS(AC$413)  /   SQRT( 1 + ( TAN($A418))^2 )  * SIGN( COS($A418))))</f>
        <v>60</v>
      </c>
      <c r="AD418" s="195" t="n">
        <f aca="false">DEGREES( ACOS( COS(AD$413)  /   SQRT( 1 + ( TAN($A418))^2 )  * SIGN( COS($A418))))</f>
        <v>60</v>
      </c>
      <c r="AE418" s="1"/>
      <c r="AF418" s="1"/>
      <c r="AG418" s="1"/>
      <c r="AH418" s="1"/>
      <c r="AI418" s="1"/>
      <c r="AJ418" s="1"/>
      <c r="AK418" s="1"/>
      <c r="AL418" s="1"/>
    </row>
    <row r="419" customFormat="false" ht="12.75" hidden="false" customHeight="true" outlineLevel="0" collapsed="false">
      <c r="A419" s="192" t="n">
        <f aca="false">RADIANS(MOD(B419-180,-360)+180)</f>
        <v>1.30899693899575</v>
      </c>
      <c r="B419" s="182" t="n">
        <v>75</v>
      </c>
      <c r="C419" s="1"/>
      <c r="D419" s="256" t="n">
        <f aca="false">DEGREES( ACOS( COS(D$413)  /   SQRT( 1 + ( TAN($A419))^2 )))</f>
        <v>75.0000000023383</v>
      </c>
      <c r="E419" s="210" t="n">
        <f aca="false">DEGREES( ACOS( COS(E$413)  /   SQRT( 1 + ( TAN($A419))^2 )))</f>
        <v>75.5224878140701</v>
      </c>
      <c r="F419" s="210" t="n">
        <f aca="false">DEGREES( ACOS( COS(F$413)  /   SQRT( 1 + ( TAN($A419))^2 )))</f>
        <v>77.0474603577776</v>
      </c>
      <c r="G419" s="210" t="n">
        <f aca="false">DEGREES( ACOS( COS(G$413)  /   SQRT( 1 + ( TAN($A419))^2 )))</f>
        <v>79.4547094105005</v>
      </c>
      <c r="H419" s="210" t="n">
        <f aca="false">DEGREES( ACOS( COS(H$413)  /   SQRT( 1 + ( TAN($A419))^2 )))</f>
        <v>82.5645277738682</v>
      </c>
      <c r="I419" s="210" t="n">
        <f aca="false">DEGREES( ACOS( COS(I$413)  /   SQRT( 1 + ( TAN($A419))^2 )))</f>
        <v>86.1590342837419</v>
      </c>
      <c r="J419" s="256" t="n">
        <f aca="false">DEGREES( ACOS( COS(J$413)  /   SQRT( 1 + ( TAN($A419))^2 )))</f>
        <v>90</v>
      </c>
      <c r="K419" s="210" t="n">
        <f aca="false">DEGREES( ACOS( COS(K$413)  /   SQRT( 1 + ( TAN($A419))^2 )))</f>
        <v>93.8409657162582</v>
      </c>
      <c r="L419" s="210" t="n">
        <f aca="false">DEGREES( ACOS( COS(L$413)  /   SQRT( 1 + ( TAN($A419))^2 )))</f>
        <v>97.4354722261319</v>
      </c>
      <c r="M419" s="210" t="n">
        <f aca="false">DEGREES( ACOS( COS(M$413)  /   SQRT( 1 + ( TAN($A419))^2 )))</f>
        <v>100.5452905895</v>
      </c>
      <c r="N419" s="210" t="n">
        <f aca="false">DEGREES( ACOS( COS(N$413)  /   SQRT( 1 + ( TAN($A419))^2 )))</f>
        <v>102.952539642222</v>
      </c>
      <c r="O419" s="210" t="n">
        <f aca="false">DEGREES( ACOS( COS(O$413)  /   SQRT( 1 + ( TAN($A419))^2 )))</f>
        <v>104.47751218593</v>
      </c>
      <c r="P419" s="256" t="n">
        <f aca="false">DEGREES( ACOS( COS(P$413)  /   SQRT( 1 + ( TAN($A419))^2 )))</f>
        <v>105</v>
      </c>
      <c r="Q419" s="210" t="n">
        <f aca="false">DEGREES( ACOS( COS(Q$413)  /   SQRT( 1 + ( TAN($A419))^2 )))</f>
        <v>104.47751218593</v>
      </c>
      <c r="R419" s="210" t="n">
        <f aca="false">DEGREES( ACOS( COS(R$413)  /   SQRT( 1 + ( TAN($A419))^2 )))</f>
        <v>102.952539642222</v>
      </c>
      <c r="S419" s="210" t="n">
        <f aca="false">DEGREES( ACOS( COS(S$413)  /   SQRT( 1 + ( TAN($A419))^2 )))</f>
        <v>100.5452905895</v>
      </c>
      <c r="T419" s="210" t="n">
        <f aca="false">DEGREES( ACOS( COS(T$413)  /   SQRT( 1 + ( TAN($A419))^2 )))</f>
        <v>97.4354722261319</v>
      </c>
      <c r="U419" s="210" t="n">
        <f aca="false">DEGREES( ACOS( COS(U$413)  /   SQRT( 1 + ( TAN($A419))^2 )))</f>
        <v>93.8409657162582</v>
      </c>
      <c r="V419" s="256" t="n">
        <f aca="false">DEGREES( ACOS( COS(V$413)  /   SQRT( 1 + ( TAN($A419))^2 )))</f>
        <v>90</v>
      </c>
      <c r="W419" s="210" t="n">
        <f aca="false">DEGREES( ACOS( COS(W$413)  /   SQRT( 1 + ( TAN($A419))^2 )))</f>
        <v>86.1590342837419</v>
      </c>
      <c r="X419" s="210" t="n">
        <f aca="false">DEGREES( ACOS( COS(X$413)  /   SQRT( 1 + ( TAN($A419))^2 )))</f>
        <v>82.5645277738682</v>
      </c>
      <c r="Y419" s="210" t="n">
        <f aca="false">DEGREES( ACOS( COS(Y$413)  /   SQRT( 1 + ( TAN($A419))^2 )))</f>
        <v>79.4547094105005</v>
      </c>
      <c r="Z419" s="210" t="n">
        <f aca="false">DEGREES( ACOS( COS(Z$413)  /   SQRT( 1 + ( TAN($A419))^2 )))</f>
        <v>77.0474603577776</v>
      </c>
      <c r="AA419" s="210" t="n">
        <f aca="false">DEGREES( ACOS( COS(AA$413)  /   SQRT( 1 + ( TAN($A419))^2 )))</f>
        <v>75.5224878140701</v>
      </c>
      <c r="AB419" s="256" t="n">
        <f aca="false">DEGREES( ACOS( COS(AB$413)  /   SQRT( 1 + ( TAN($A419))^2 )))</f>
        <v>75.0000002338298</v>
      </c>
      <c r="AC419" s="195" t="n">
        <f aca="false">DEGREES( ACOS( COS(AC$413)  /   SQRT( 1 + ( TAN($A419))^2 )  * SIGN( COS($A419))))</f>
        <v>75</v>
      </c>
      <c r="AD419" s="195" t="n">
        <f aca="false">DEGREES( ACOS( COS(AD$413)  /   SQRT( 1 + ( TAN($A419))^2 )  * SIGN( COS($A419))))</f>
        <v>75</v>
      </c>
      <c r="AE419" s="1"/>
      <c r="AF419" s="1"/>
      <c r="AG419" s="1"/>
      <c r="AH419" s="1"/>
      <c r="AI419" s="1"/>
      <c r="AJ419" s="1"/>
      <c r="AK419" s="1"/>
      <c r="AL419" s="1"/>
    </row>
    <row r="420" customFormat="false" ht="12.75" hidden="false" customHeight="true" outlineLevel="0" collapsed="false">
      <c r="A420" s="192" t="n">
        <f aca="false">RADIANS(MOD(B420-180,-360)+180)</f>
        <v>1.5707963267949</v>
      </c>
      <c r="B420" s="182" t="n">
        <v>90</v>
      </c>
      <c r="C420" s="1"/>
      <c r="D420" s="256" t="n">
        <f aca="false">DEGREES( ACOS( COS(D$413)  /   SQRT( 1 + ( TAN($A420))^2 )))</f>
        <v>90</v>
      </c>
      <c r="E420" s="256" t="n">
        <f aca="false">DEGREES( ACOS( COS(E$413)  /   SQRT( 1 + ( TAN($A420))^2 )))</f>
        <v>90</v>
      </c>
      <c r="F420" s="256" t="n">
        <f aca="false">DEGREES( ACOS( COS(F$413)  /   SQRT( 1 + ( TAN($A420))^2 )))</f>
        <v>90</v>
      </c>
      <c r="G420" s="256" t="n">
        <f aca="false">DEGREES( ACOS( COS(G$413)  /   SQRT( 1 + ( TAN($A420))^2 )))</f>
        <v>90</v>
      </c>
      <c r="H420" s="256" t="n">
        <f aca="false">DEGREES( ACOS( COS(H$413)  /   SQRT( 1 + ( TAN($A420))^2 )))</f>
        <v>90</v>
      </c>
      <c r="I420" s="256" t="n">
        <f aca="false">DEGREES( ACOS( COS(I$413)  /   SQRT( 1 + ( TAN($A420))^2 )))</f>
        <v>90</v>
      </c>
      <c r="J420" s="256" t="n">
        <f aca="false">DEGREES( ACOS( COS(J$413)  /   SQRT( 1 + ( TAN($A420))^2 )))</f>
        <v>90</v>
      </c>
      <c r="K420" s="256" t="n">
        <f aca="false">DEGREES( ACOS( COS(K$413)  /   SQRT( 1 + ( TAN($A420))^2 )))</f>
        <v>90</v>
      </c>
      <c r="L420" s="256" t="n">
        <f aca="false">DEGREES( ACOS( COS(L$413)  /   SQRT( 1 + ( TAN($A420))^2 )))</f>
        <v>90</v>
      </c>
      <c r="M420" s="256" t="n">
        <f aca="false">DEGREES( ACOS( COS(M$413)  /   SQRT( 1 + ( TAN($A420))^2 )))</f>
        <v>90</v>
      </c>
      <c r="N420" s="256" t="n">
        <f aca="false">DEGREES( ACOS( COS(N$413)  /   SQRT( 1 + ( TAN($A420))^2 )))</f>
        <v>90</v>
      </c>
      <c r="O420" s="256" t="n">
        <f aca="false">DEGREES( ACOS( COS(O$413)  /   SQRT( 1 + ( TAN($A420))^2 )))</f>
        <v>90</v>
      </c>
      <c r="P420" s="256" t="n">
        <f aca="false">DEGREES( ACOS( COS(P$413)  /   SQRT( 1 + ( TAN($A420))^2 )))</f>
        <v>90</v>
      </c>
      <c r="Q420" s="256" t="n">
        <f aca="false">DEGREES( ACOS( COS(Q$413)  /   SQRT( 1 + ( TAN($A420))^2 )))</f>
        <v>90</v>
      </c>
      <c r="R420" s="256" t="n">
        <f aca="false">DEGREES( ACOS( COS(R$413)  /   SQRT( 1 + ( TAN($A420))^2 )))</f>
        <v>90</v>
      </c>
      <c r="S420" s="256" t="n">
        <f aca="false">DEGREES( ACOS( COS(S$413)  /   SQRT( 1 + ( TAN($A420))^2 )))</f>
        <v>90</v>
      </c>
      <c r="T420" s="256" t="n">
        <f aca="false">DEGREES( ACOS( COS(T$413)  /   SQRT( 1 + ( TAN($A420))^2 )))</f>
        <v>90</v>
      </c>
      <c r="U420" s="256" t="n">
        <f aca="false">DEGREES( ACOS( COS(U$413)  /   SQRT( 1 + ( TAN($A420))^2 )))</f>
        <v>90</v>
      </c>
      <c r="V420" s="256" t="n">
        <f aca="false">DEGREES( ACOS( COS(V$413)  /   SQRT( 1 + ( TAN($A420))^2 )))</f>
        <v>90</v>
      </c>
      <c r="W420" s="256" t="n">
        <f aca="false">DEGREES( ACOS( COS(W$413)  /   SQRT( 1 + ( TAN($A420))^2 )))</f>
        <v>90</v>
      </c>
      <c r="X420" s="256" t="n">
        <f aca="false">DEGREES( ACOS( COS(X$413)  /   SQRT( 1 + ( TAN($A420))^2 )))</f>
        <v>90</v>
      </c>
      <c r="Y420" s="256" t="n">
        <f aca="false">DEGREES( ACOS( COS(Y$413)  /   SQRT( 1 + ( TAN($A420))^2 )))</f>
        <v>90</v>
      </c>
      <c r="Z420" s="256" t="n">
        <f aca="false">DEGREES( ACOS( COS(Z$413)  /   SQRT( 1 + ( TAN($A420))^2 )))</f>
        <v>90</v>
      </c>
      <c r="AA420" s="256" t="n">
        <f aca="false">DEGREES( ACOS( COS(AA$413)  /   SQRT( 1 + ( TAN($A420))^2 )))</f>
        <v>90</v>
      </c>
      <c r="AB420" s="256" t="n">
        <f aca="false">DEGREES( ACOS( COS(AB$413)  /   SQRT( 1 + ( TAN($A420))^2 )))</f>
        <v>90</v>
      </c>
      <c r="AC420" s="195" t="n">
        <f aca="false">DEGREES( ACOS( COS(AC$413)  /   SQRT( 1 + ( TAN($A420))^2 )  * SIGN( COS($A420))))</f>
        <v>90</v>
      </c>
      <c r="AD420" s="195" t="n">
        <f aca="false">DEGREES( ACOS( COS(AD$413)  /   SQRT( 1 + ( TAN($A420))^2 )  * SIGN( COS($A420))))</f>
        <v>90</v>
      </c>
      <c r="AE420" s="1"/>
      <c r="AF420" s="1"/>
      <c r="AG420" s="1"/>
      <c r="AH420" s="1"/>
      <c r="AI420" s="1"/>
      <c r="AJ420" s="1"/>
      <c r="AK420" s="1"/>
      <c r="AL420" s="1"/>
    </row>
    <row r="421" customFormat="false" ht="12.75" hidden="false" customHeight="true" outlineLevel="0" collapsed="false">
      <c r="A421" s="192" t="n">
        <f aca="false">RADIANS(MOD(B421-180,-360)+180)</f>
        <v>1.83259571459405</v>
      </c>
      <c r="B421" s="182" t="n">
        <v>105</v>
      </c>
      <c r="C421" s="1"/>
      <c r="D421" s="256" t="n">
        <f aca="false">DEGREES( ACOS( COS(D$413)  /   SQRT( 1 + ( TAN($A421))^2 )  * SIGN( COS($A421))))</f>
        <v>104.999999997662</v>
      </c>
      <c r="E421" s="249" t="n">
        <f aca="false">DEGREES( ACOS( COS(E$413)  /   SQRT( 1 + ( TAN($A421))^2 )  * SIGN( COS($A421))))</f>
        <v>104.47751218593</v>
      </c>
      <c r="F421" s="249" t="n">
        <f aca="false">DEGREES( ACOS( COS(F$413)  /   SQRT( 1 + ( TAN($A421))^2 )  * SIGN( COS($A421))))</f>
        <v>102.952539642222</v>
      </c>
      <c r="G421" s="249" t="n">
        <f aca="false">DEGREES( ACOS( COS(G$413)  /   SQRT( 1 + ( TAN($A421))^2 )  * SIGN( COS($A421))))</f>
        <v>100.5452905895</v>
      </c>
      <c r="H421" s="249" t="n">
        <f aca="false">DEGREES( ACOS( COS(H$413)  /   SQRT( 1 + ( TAN($A421))^2 )  * SIGN( COS($A421))))</f>
        <v>97.4354722261319</v>
      </c>
      <c r="I421" s="249" t="n">
        <f aca="false">DEGREES( ACOS( COS(I$413)  /   SQRT( 1 + ( TAN($A421))^2 )  * SIGN( COS($A421))))</f>
        <v>93.8409657162582</v>
      </c>
      <c r="J421" s="256" t="n">
        <f aca="false">DEGREES( ACOS( COS(J$413)  /   SQRT( 1 + ( TAN($A421))^2 )  * SIGN( COS($A421))))</f>
        <v>90</v>
      </c>
      <c r="K421" s="249" t="n">
        <f aca="false">DEGREES( ACOS( COS(K$413)  /   SQRT( 1 + ( TAN($A421))^2 )  * SIGN( COS($A421))))</f>
        <v>86.1590342837419</v>
      </c>
      <c r="L421" s="249" t="n">
        <f aca="false">DEGREES( ACOS( COS(L$413)  /   SQRT( 1 + ( TAN($A421))^2 )  * SIGN( COS($A421))))</f>
        <v>82.5645277738682</v>
      </c>
      <c r="M421" s="249" t="n">
        <f aca="false">DEGREES( ACOS( COS(M$413)  /   SQRT( 1 + ( TAN($A421))^2 )  * SIGN( COS($A421))))</f>
        <v>79.4547094105004</v>
      </c>
      <c r="N421" s="249" t="n">
        <f aca="false">DEGREES( ACOS( COS(N$413)  /   SQRT( 1 + ( TAN($A421))^2 )  * SIGN( COS($A421))))</f>
        <v>77.0474603577776</v>
      </c>
      <c r="O421" s="249" t="n">
        <f aca="false">DEGREES( ACOS( COS(O$413)  /   SQRT( 1 + ( TAN($A421))^2 )  * SIGN( COS($A421))))</f>
        <v>75.5224878140701</v>
      </c>
      <c r="P421" s="256" t="n">
        <f aca="false">DEGREES( ACOS( COS(P$413)  /   SQRT( 1 + ( TAN($A421))^2 )  * SIGN( COS($A421))))</f>
        <v>75</v>
      </c>
      <c r="Q421" s="249" t="n">
        <f aca="false">DEGREES( ACOS( COS(Q$413)  /   SQRT( 1 + ( TAN($A421))^2 )  * SIGN( COS($A421))))</f>
        <v>75.5224878140701</v>
      </c>
      <c r="R421" s="249" t="n">
        <f aca="false">DEGREES( ACOS( COS(R$413)  /   SQRT( 1 + ( TAN($A421))^2 )  * SIGN( COS($A421))))</f>
        <v>77.0474603577776</v>
      </c>
      <c r="S421" s="249" t="n">
        <f aca="false">DEGREES( ACOS( COS(S$413)  /   SQRT( 1 + ( TAN($A421))^2 )  * SIGN( COS($A421))))</f>
        <v>79.4547094105004</v>
      </c>
      <c r="T421" s="249" t="n">
        <f aca="false">DEGREES( ACOS( COS(T$413)  /   SQRT( 1 + ( TAN($A421))^2 )  * SIGN( COS($A421))))</f>
        <v>82.5645277738682</v>
      </c>
      <c r="U421" s="249" t="n">
        <f aca="false">DEGREES( ACOS( COS(U$413)  /   SQRT( 1 + ( TAN($A421))^2 )  * SIGN( COS($A421))))</f>
        <v>86.1590342837419</v>
      </c>
      <c r="V421" s="256" t="n">
        <f aca="false">DEGREES( ACOS( COS(V$413)  /   SQRT( 1 + ( TAN($A421))^2 )  * SIGN( COS($A421))))</f>
        <v>90</v>
      </c>
      <c r="W421" s="249" t="n">
        <f aca="false">DEGREES( ACOS( COS(W$413)  /   SQRT( 1 + ( TAN($A421))^2 )  * SIGN( COS($A421))))</f>
        <v>93.8409657162582</v>
      </c>
      <c r="X421" s="249" t="n">
        <f aca="false">DEGREES( ACOS( COS(X$413)  /   SQRT( 1 + ( TAN($A421))^2 )  * SIGN( COS($A421))))</f>
        <v>97.4354722261319</v>
      </c>
      <c r="Y421" s="249" t="n">
        <f aca="false">DEGREES( ACOS( COS(Y$413)  /   SQRT( 1 + ( TAN($A421))^2 )  * SIGN( COS($A421))))</f>
        <v>100.5452905895</v>
      </c>
      <c r="Z421" s="249" t="n">
        <f aca="false">DEGREES( ACOS( COS(Z$413)  /   SQRT( 1 + ( TAN($A421))^2 )  * SIGN( COS($A421))))</f>
        <v>102.952539642222</v>
      </c>
      <c r="AA421" s="249" t="n">
        <f aca="false">DEGREES( ACOS( COS(AA$413)  /   SQRT( 1 + ( TAN($A421))^2 )  * SIGN( COS($A421))))</f>
        <v>104.47751218593</v>
      </c>
      <c r="AB421" s="256" t="n">
        <f aca="false">DEGREES( ACOS( COS(AB$413)  /   SQRT( 1 + ( TAN($A421))^2 )))</f>
        <v>75.0000002338298</v>
      </c>
      <c r="AC421" s="195" t="n">
        <f aca="false">DEGREES( ACOS( COS(AC$413)  /   SQRT( 1 + ( TAN($A421))^2 )  * SIGN( COS($A421))))</f>
        <v>105</v>
      </c>
      <c r="AD421" s="195" t="n">
        <f aca="false">DEGREES( ACOS( COS(AD$413)  /   SQRT( 1 + ( TAN($A421))^2 )  * SIGN( COS($A421))))</f>
        <v>105</v>
      </c>
      <c r="AE421" s="1"/>
      <c r="AF421" s="1"/>
      <c r="AG421" s="1"/>
      <c r="AH421" s="1"/>
      <c r="AI421" s="1"/>
      <c r="AJ421" s="1"/>
      <c r="AK421" s="1"/>
      <c r="AL421" s="1"/>
    </row>
    <row r="422" customFormat="false" ht="12.75" hidden="false" customHeight="true" outlineLevel="0" collapsed="false">
      <c r="A422" s="192" t="n">
        <f aca="false">RADIANS(MOD(B422-180,-360)+180)</f>
        <v>2.0943951023932</v>
      </c>
      <c r="B422" s="182" t="n">
        <v>120</v>
      </c>
      <c r="C422" s="1"/>
      <c r="D422" s="256" t="n">
        <f aca="false">DEGREES( ACOS( COS(D$413)  /   SQRT( 1 + ( TAN($A422))^2 )  * SIGN( COS($A422))))</f>
        <v>119.999999994962</v>
      </c>
      <c r="E422" s="249" t="n">
        <f aca="false">DEGREES( ACOS( COS(E$413)  /   SQRT( 1 + ( TAN($A422))^2 )  * SIGN( COS($A422))))</f>
        <v>118.879094017428</v>
      </c>
      <c r="F422" s="249" t="n">
        <f aca="false">DEGREES( ACOS( COS(F$413)  /   SQRT( 1 + ( TAN($A422))^2 )  * SIGN( COS($A422))))</f>
        <v>115.658906273255</v>
      </c>
      <c r="G422" s="249" t="n">
        <f aca="false">DEGREES( ACOS( COS(G$413)  /   SQRT( 1 + ( TAN($A422))^2 )  * SIGN( COS($A422))))</f>
        <v>110.704811054635</v>
      </c>
      <c r="H422" s="249" t="n">
        <f aca="false">DEGREES( ACOS( COS(H$413)  /   SQRT( 1 + ( TAN($A422))^2 )  * SIGN( COS($A422))))</f>
        <v>104.47751218593</v>
      </c>
      <c r="I422" s="249" t="n">
        <f aca="false">DEGREES( ACOS( COS(I$413)  /   SQRT( 1 + ( TAN($A422))^2 )  * SIGN( COS($A422))))</f>
        <v>97.4354722261319</v>
      </c>
      <c r="J422" s="256" t="n">
        <f aca="false">DEGREES( ACOS( COS(J$413)  /   SQRT( 1 + ( TAN($A422))^2 )  * SIGN( COS($A422))))</f>
        <v>90</v>
      </c>
      <c r="K422" s="249" t="n">
        <f aca="false">DEGREES( ACOS( COS(K$413)  /   SQRT( 1 + ( TAN($A422))^2 )  * SIGN( COS($A422))))</f>
        <v>82.5645277738682</v>
      </c>
      <c r="L422" s="249" t="n">
        <f aca="false">DEGREES( ACOS( COS(L$413)  /   SQRT( 1 + ( TAN($A422))^2 )  * SIGN( COS($A422))))</f>
        <v>75.5224878140701</v>
      </c>
      <c r="M422" s="249" t="n">
        <f aca="false">DEGREES( ACOS( COS(M$413)  /   SQRT( 1 + ( TAN($A422))^2 )  * SIGN( COS($A422))))</f>
        <v>69.2951889453646</v>
      </c>
      <c r="N422" s="249" t="n">
        <f aca="false">DEGREES( ACOS( COS(N$413)  /   SQRT( 1 + ( TAN($A422))^2 )  * SIGN( COS($A422))))</f>
        <v>64.3410937267447</v>
      </c>
      <c r="O422" s="249" t="n">
        <f aca="false">DEGREES( ACOS( COS(O$413)  /   SQRT( 1 + ( TAN($A422))^2 )  * SIGN( COS($A422))))</f>
        <v>61.1209059825724</v>
      </c>
      <c r="P422" s="256" t="n">
        <f aca="false">DEGREES( ACOS( COS(P$413)  /   SQRT( 1 + ( TAN($A422))^2 )  * SIGN( COS($A422))))</f>
        <v>60</v>
      </c>
      <c r="Q422" s="249" t="n">
        <f aca="false">DEGREES( ACOS( COS(Q$413)  /   SQRT( 1 + ( TAN($A422))^2 )  * SIGN( COS($A422))))</f>
        <v>61.1209059825724</v>
      </c>
      <c r="R422" s="249" t="n">
        <f aca="false">DEGREES( ACOS( COS(R$413)  /   SQRT( 1 + ( TAN($A422))^2 )  * SIGN( COS($A422))))</f>
        <v>64.3410937267447</v>
      </c>
      <c r="S422" s="249" t="n">
        <f aca="false">DEGREES( ACOS( COS(S$413)  /   SQRT( 1 + ( TAN($A422))^2 )  * SIGN( COS($A422))))</f>
        <v>69.2951889453646</v>
      </c>
      <c r="T422" s="249" t="n">
        <f aca="false">DEGREES( ACOS( COS(T$413)  /   SQRT( 1 + ( TAN($A422))^2 )  * SIGN( COS($A422))))</f>
        <v>75.5224878140701</v>
      </c>
      <c r="U422" s="249" t="n">
        <f aca="false">DEGREES( ACOS( COS(U$413)  /   SQRT( 1 + ( TAN($A422))^2 )  * SIGN( COS($A422))))</f>
        <v>82.5645277738682</v>
      </c>
      <c r="V422" s="256" t="n">
        <f aca="false">DEGREES( ACOS( COS(V$413)  /   SQRT( 1 + ( TAN($A422))^2 )  * SIGN( COS($A422))))</f>
        <v>90</v>
      </c>
      <c r="W422" s="249" t="n">
        <f aca="false">DEGREES( ACOS( COS(W$413)  /   SQRT( 1 + ( TAN($A422))^2 )  * SIGN( COS($A422))))</f>
        <v>97.4354722261319</v>
      </c>
      <c r="X422" s="249" t="n">
        <f aca="false">DEGREES( ACOS( COS(X$413)  /   SQRT( 1 + ( TAN($A422))^2 )  * SIGN( COS($A422))))</f>
        <v>104.47751218593</v>
      </c>
      <c r="Y422" s="249" t="n">
        <f aca="false">DEGREES( ACOS( COS(Y$413)  /   SQRT( 1 + ( TAN($A422))^2 )  * SIGN( COS($A422))))</f>
        <v>110.704811054635</v>
      </c>
      <c r="Z422" s="249" t="n">
        <f aca="false">DEGREES( ACOS( COS(Z$413)  /   SQRT( 1 + ( TAN($A422))^2 )  * SIGN( COS($A422))))</f>
        <v>115.658906273255</v>
      </c>
      <c r="AA422" s="249" t="n">
        <f aca="false">DEGREES( ACOS( COS(AA$413)  /   SQRT( 1 + ( TAN($A422))^2 )  * SIGN( COS($A422))))</f>
        <v>118.879094017428</v>
      </c>
      <c r="AB422" s="256" t="n">
        <f aca="false">DEGREES( ACOS( COS(AB$413)  /   SQRT( 1 + ( TAN($A422))^2 )  * SIGN( COS($A422))))</f>
        <v>119.999999496167</v>
      </c>
      <c r="AC422" s="195" t="n">
        <f aca="false">DEGREES( ACOS( COS(AC$413)  /   SQRT( 1 + ( TAN($A422))^2 )  * SIGN( COS($A422))))</f>
        <v>120</v>
      </c>
      <c r="AD422" s="195" t="n">
        <f aca="false">DEGREES( ACOS( COS(AD$413)  /   SQRT( 1 + ( TAN($A422))^2 )  * SIGN( COS($A422))))</f>
        <v>120</v>
      </c>
      <c r="AE422" s="1"/>
      <c r="AF422" s="1"/>
      <c r="AG422" s="1"/>
      <c r="AH422" s="1"/>
      <c r="AI422" s="1"/>
      <c r="AJ422" s="1"/>
      <c r="AK422" s="1"/>
      <c r="AL422" s="1"/>
    </row>
    <row r="423" customFormat="false" ht="12.75" hidden="false" customHeight="true" outlineLevel="0" collapsed="false">
      <c r="A423" s="192" t="n">
        <f aca="false">RADIANS(MOD(B423-180,-360)+180)</f>
        <v>2.35619449019234</v>
      </c>
      <c r="B423" s="182" t="n">
        <v>135</v>
      </c>
      <c r="C423" s="1"/>
      <c r="D423" s="256" t="n">
        <f aca="false">DEGREES( ACOS( COS(D$413)  /   SQRT( 1 + ( TAN($A423))^2 )  * SIGN( COS($A423))))</f>
        <v>134.999999991273</v>
      </c>
      <c r="E423" s="249" t="n">
        <f aca="false">DEGREES( ACOS( COS(E$413)  /   SQRT( 1 + ( TAN($A423))^2 )  * SIGN( COS($A423))))</f>
        <v>133.079517141871</v>
      </c>
      <c r="F423" s="249" t="n">
        <f aca="false">DEGREES( ACOS( COS(F$413)  /   SQRT( 1 + ( TAN($A423))^2 )  * SIGN( COS($A423))))</f>
        <v>127.761243907035</v>
      </c>
      <c r="G423" s="249" t="n">
        <f aca="false">DEGREES( ACOS( COS(G$413)  /   SQRT( 1 + ( TAN($A423))^2 )  * SIGN( COS($A423))))</f>
        <v>120</v>
      </c>
      <c r="H423" s="249" t="n">
        <f aca="false">DEGREES( ACOS( COS(H$413)  /   SQRT( 1 + ( TAN($A423))^2 )  * SIGN( COS($A423))))</f>
        <v>110.704811054635</v>
      </c>
      <c r="I423" s="249" t="n">
        <f aca="false">DEGREES( ACOS( COS(I$413)  /   SQRT( 1 + ( TAN($A423))^2 )  * SIGN( COS($A423))))</f>
        <v>100.5452905895</v>
      </c>
      <c r="J423" s="256" t="n">
        <f aca="false">DEGREES( ACOS( COS(J$413)  /   SQRT( 1 + ( TAN($A423))^2 )  * SIGN( COS($A423))))</f>
        <v>90</v>
      </c>
      <c r="K423" s="249" t="n">
        <f aca="false">DEGREES( ACOS( COS(K$413)  /   SQRT( 1 + ( TAN($A423))^2 )  * SIGN( COS($A423))))</f>
        <v>79.4547094105004</v>
      </c>
      <c r="L423" s="249" t="n">
        <f aca="false">DEGREES( ACOS( COS(L$413)  /   SQRT( 1 + ( TAN($A423))^2 )  * SIGN( COS($A423))))</f>
        <v>69.2951889453646</v>
      </c>
      <c r="M423" s="249" t="n">
        <f aca="false">DEGREES( ACOS( COS(M$413)  /   SQRT( 1 + ( TAN($A423))^2 )  * SIGN( COS($A423))))</f>
        <v>60</v>
      </c>
      <c r="N423" s="249" t="n">
        <f aca="false">DEGREES( ACOS( COS(N$413)  /   SQRT( 1 + ( TAN($A423))^2 )  * SIGN( COS($A423))))</f>
        <v>52.238756092965</v>
      </c>
      <c r="O423" s="249" t="n">
        <f aca="false">DEGREES( ACOS( COS(O$413)  /   SQRT( 1 + ( TAN($A423))^2 )  * SIGN( COS($A423))))</f>
        <v>46.9204828581291</v>
      </c>
      <c r="P423" s="256" t="n">
        <f aca="false">DEGREES( ACOS( COS(P$413)  /   SQRT( 1 + ( TAN($A423))^2 )  * SIGN( COS($A423))))</f>
        <v>45</v>
      </c>
      <c r="Q423" s="249" t="n">
        <f aca="false">DEGREES( ACOS( COS(Q$413)  /   SQRT( 1 + ( TAN($A423))^2 )  * SIGN( COS($A423))))</f>
        <v>46.9204828581291</v>
      </c>
      <c r="R423" s="249" t="n">
        <f aca="false">DEGREES( ACOS( COS(R$413)  /   SQRT( 1 + ( TAN($A423))^2 )  * SIGN( COS($A423))))</f>
        <v>52.238756092965</v>
      </c>
      <c r="S423" s="249" t="n">
        <f aca="false">DEGREES( ACOS( COS(S$413)  /   SQRT( 1 + ( TAN($A423))^2 )  * SIGN( COS($A423))))</f>
        <v>60</v>
      </c>
      <c r="T423" s="249" t="n">
        <f aca="false">DEGREES( ACOS( COS(T$413)  /   SQRT( 1 + ( TAN($A423))^2 )  * SIGN( COS($A423))))</f>
        <v>69.2951889453646</v>
      </c>
      <c r="U423" s="249" t="n">
        <f aca="false">DEGREES( ACOS( COS(U$413)  /   SQRT( 1 + ( TAN($A423))^2 )  * SIGN( COS($A423))))</f>
        <v>79.4547094105004</v>
      </c>
      <c r="V423" s="256" t="n">
        <f aca="false">DEGREES( ACOS( COS(V$413)  /   SQRT( 1 + ( TAN($A423))^2 )  * SIGN( COS($A423))))</f>
        <v>90</v>
      </c>
      <c r="W423" s="249" t="n">
        <f aca="false">DEGREES( ACOS( COS(W$413)  /   SQRT( 1 + ( TAN($A423))^2 )  * SIGN( COS($A423))))</f>
        <v>100.5452905895</v>
      </c>
      <c r="X423" s="249" t="n">
        <f aca="false">DEGREES( ACOS( COS(X$413)  /   SQRT( 1 + ( TAN($A423))^2 )  * SIGN( COS($A423))))</f>
        <v>110.704811054635</v>
      </c>
      <c r="Y423" s="249" t="n">
        <f aca="false">DEGREES( ACOS( COS(Y$413)  /   SQRT( 1 + ( TAN($A423))^2 )  * SIGN( COS($A423))))</f>
        <v>120</v>
      </c>
      <c r="Z423" s="249" t="n">
        <f aca="false">DEGREES( ACOS( COS(Z$413)  /   SQRT( 1 + ( TAN($A423))^2 )  * SIGN( COS($A423))))</f>
        <v>127.761243907035</v>
      </c>
      <c r="AA423" s="249" t="n">
        <f aca="false">DEGREES( ACOS( COS(AA$413)  /   SQRT( 1 + ( TAN($A423))^2 )  * SIGN( COS($A423))))</f>
        <v>133.079517141871</v>
      </c>
      <c r="AB423" s="256" t="n">
        <f aca="false">DEGREES( ACOS( COS(AB$413)  /   SQRT( 1 + ( TAN($A423))^2 )  * SIGN( COS($A423))))</f>
        <v>134.999999127335</v>
      </c>
      <c r="AC423" s="195" t="n">
        <f aca="false">DEGREES( ACOS( COS(AC$413)  /   SQRT( 1 + ( TAN($A423))^2 )  * SIGN( COS($A423))))</f>
        <v>135</v>
      </c>
      <c r="AD423" s="195" t="n">
        <f aca="false">DEGREES( ACOS( COS(AD$413)  /   SQRT( 1 + ( TAN($A423))^2 )  * SIGN( COS($A423))))</f>
        <v>135</v>
      </c>
      <c r="AE423" s="1"/>
      <c r="AF423" s="1"/>
      <c r="AG423" s="1"/>
      <c r="AH423" s="1"/>
      <c r="AI423" s="1"/>
      <c r="AJ423" s="1"/>
      <c r="AK423" s="1"/>
      <c r="AL423" s="1"/>
    </row>
    <row r="424" customFormat="false" ht="12.75" hidden="false" customHeight="true" outlineLevel="0" collapsed="false">
      <c r="A424" s="192" t="n">
        <f aca="false">RADIANS(MOD(B424-180,-360)+180)</f>
        <v>2.61799387799149</v>
      </c>
      <c r="B424" s="182" t="n">
        <v>150</v>
      </c>
      <c r="C424" s="1"/>
      <c r="D424" s="256" t="n">
        <f aca="false">DEGREES( ACOS( COS(D$413)  /   SQRT( 1 + ( TAN($A424))^2 )  * SIGN( COS($A424))))</f>
        <v>149.999999984885</v>
      </c>
      <c r="E424" s="249" t="n">
        <f aca="false">DEGREES( ACOS( COS(E$413)  /   SQRT( 1 + ( TAN($A424))^2 )  * SIGN( COS($A424))))</f>
        <v>146.774057796712</v>
      </c>
      <c r="F424" s="249" t="n">
        <f aca="false">DEGREES( ACOS( COS(F$413)  /   SQRT( 1 + ( TAN($A424))^2 )  * SIGN( COS($A424))))</f>
        <v>138.590377890729</v>
      </c>
      <c r="G424" s="249" t="n">
        <f aca="false">DEGREES( ACOS( COS(G$413)  /   SQRT( 1 + ( TAN($A424))^2 )  * SIGN( COS($A424))))</f>
        <v>127.761243907035</v>
      </c>
      <c r="H424" s="249" t="n">
        <f aca="false">DEGREES( ACOS( COS(H$413)  /   SQRT( 1 + ( TAN($A424))^2 )  * SIGN( COS($A424))))</f>
        <v>115.658906273255</v>
      </c>
      <c r="I424" s="249" t="n">
        <f aca="false">DEGREES( ACOS( COS(I$413)  /   SQRT( 1 + ( TAN($A424))^2 )  * SIGN( COS($A424))))</f>
        <v>102.952539642222</v>
      </c>
      <c r="J424" s="256" t="n">
        <f aca="false">DEGREES( ACOS( COS(J$413)  /   SQRT( 1 + ( TAN($A424))^2 )  * SIGN( COS($A424))))</f>
        <v>90</v>
      </c>
      <c r="K424" s="249" t="n">
        <f aca="false">DEGREES( ACOS( COS(K$413)  /   SQRT( 1 + ( TAN($A424))^2 )  * SIGN( COS($A424))))</f>
        <v>77.0474603577776</v>
      </c>
      <c r="L424" s="249" t="n">
        <f aca="false">DEGREES( ACOS( COS(L$413)  /   SQRT( 1 + ( TAN($A424))^2 )  * SIGN( COS($A424))))</f>
        <v>64.3410937267447</v>
      </c>
      <c r="M424" s="249" t="n">
        <f aca="false">DEGREES( ACOS( COS(M$413)  /   SQRT( 1 + ( TAN($A424))^2 )  * SIGN( COS($A424))))</f>
        <v>52.238756092965</v>
      </c>
      <c r="N424" s="249" t="n">
        <f aca="false">DEGREES( ACOS( COS(N$413)  /   SQRT( 1 + ( TAN($A424))^2 )  * SIGN( COS($A424))))</f>
        <v>41.4096221092709</v>
      </c>
      <c r="O424" s="249" t="n">
        <f aca="false">DEGREES( ACOS( COS(O$413)  /   SQRT( 1 + ( TAN($A424))^2 )  * SIGN( COS($A424))))</f>
        <v>33.2259422032876</v>
      </c>
      <c r="P424" s="256" t="n">
        <f aca="false">DEGREES( ACOS( COS(P$413)  /   SQRT( 1 + ( TAN($A424))^2 )  * SIGN( COS($A424))))</f>
        <v>30</v>
      </c>
      <c r="Q424" s="249" t="n">
        <f aca="false">DEGREES( ACOS( COS(Q$413)  /   SQRT( 1 + ( TAN($A424))^2 )  * SIGN( COS($A424))))</f>
        <v>33.2259422032876</v>
      </c>
      <c r="R424" s="249" t="n">
        <f aca="false">DEGREES( ACOS( COS(R$413)  /   SQRT( 1 + ( TAN($A424))^2 )  * SIGN( COS($A424))))</f>
        <v>41.4096221092709</v>
      </c>
      <c r="S424" s="249" t="n">
        <f aca="false">DEGREES( ACOS( COS(S$413)  /   SQRT( 1 + ( TAN($A424))^2 )  * SIGN( COS($A424))))</f>
        <v>52.238756092965</v>
      </c>
      <c r="T424" s="249" t="n">
        <f aca="false">DEGREES( ACOS( COS(T$413)  /   SQRT( 1 + ( TAN($A424))^2 )  * SIGN( COS($A424))))</f>
        <v>64.3410937267447</v>
      </c>
      <c r="U424" s="249" t="n">
        <f aca="false">DEGREES( ACOS( COS(U$413)  /   SQRT( 1 + ( TAN($A424))^2 )  * SIGN( COS($A424))))</f>
        <v>77.0474603577776</v>
      </c>
      <c r="V424" s="256" t="n">
        <f aca="false">DEGREES( ACOS( COS(V$413)  /   SQRT( 1 + ( TAN($A424))^2 )  * SIGN( COS($A424))))</f>
        <v>90</v>
      </c>
      <c r="W424" s="249" t="n">
        <f aca="false">DEGREES( ACOS( COS(W$413)  /   SQRT( 1 + ( TAN($A424))^2 )  * SIGN( COS($A424))))</f>
        <v>102.952539642222</v>
      </c>
      <c r="X424" s="249" t="n">
        <f aca="false">DEGREES( ACOS( COS(X$413)  /   SQRT( 1 + ( TAN($A424))^2 )  * SIGN( COS($A424))))</f>
        <v>115.658906273255</v>
      </c>
      <c r="Y424" s="249" t="n">
        <f aca="false">DEGREES( ACOS( COS(Y$413)  /   SQRT( 1 + ( TAN($A424))^2 )  * SIGN( COS($A424))))</f>
        <v>127.761243907035</v>
      </c>
      <c r="Z424" s="249" t="n">
        <f aca="false">DEGREES( ACOS( COS(Z$413)  /   SQRT( 1 + ( TAN($A424))^2 )  * SIGN( COS($A424))))</f>
        <v>138.590377890729</v>
      </c>
      <c r="AA424" s="249" t="n">
        <f aca="false">DEGREES( ACOS( COS(AA$413)  /   SQRT( 1 + ( TAN($A424))^2 )  * SIGN( COS($A424))))</f>
        <v>146.774057796712</v>
      </c>
      <c r="AB424" s="256" t="n">
        <f aca="false">DEGREES( ACOS( COS(AB$413)  /   SQRT( 1 + ( TAN($A424))^2 )  * SIGN( COS($A424))))</f>
        <v>149.999998488501</v>
      </c>
      <c r="AC424" s="195" t="n">
        <f aca="false">DEGREES( ACOS( COS(AC$413)  /   SQRT( 1 + ( TAN($A424))^2 )  * SIGN( COS($A424))))</f>
        <v>150</v>
      </c>
      <c r="AD424" s="195" t="n">
        <f aca="false">DEGREES( ACOS( COS(AD$413)  /   SQRT( 1 + ( TAN($A424))^2 )  * SIGN( COS($A424))))</f>
        <v>150</v>
      </c>
      <c r="AE424" s="1"/>
      <c r="AF424" s="1"/>
      <c r="AG424" s="1"/>
      <c r="AH424" s="1"/>
      <c r="AI424" s="1"/>
      <c r="AJ424" s="1"/>
      <c r="AK424" s="1"/>
      <c r="AL424" s="1"/>
    </row>
    <row r="425" customFormat="false" ht="12.75" hidden="false" customHeight="true" outlineLevel="0" collapsed="false">
      <c r="A425" s="192" t="n">
        <f aca="false">RADIANS(MOD(B425-180,-360)+180)</f>
        <v>2.87979326579064</v>
      </c>
      <c r="B425" s="182" t="n">
        <v>165</v>
      </c>
      <c r="C425" s="1"/>
      <c r="D425" s="256" t="n">
        <f aca="false">DEGREES( ACOS( COS(D$413)  /   SQRT( 1 + ( TAN($A425))^2 )  * SIGN( COS($A425))))</f>
        <v>164.999999967432</v>
      </c>
      <c r="E425" s="249" t="n">
        <f aca="false">DEGREES( ACOS( COS(E$413)  /   SQRT( 1 + ( TAN($A425))^2 )  * SIGN( COS($A425))))</f>
        <v>158.909418821001</v>
      </c>
      <c r="F425" s="249" t="n">
        <f aca="false">DEGREES( ACOS( COS(F$413)  /   SQRT( 1 + ( TAN($A425))^2 )  * SIGN( COS($A425))))</f>
        <v>146.774057796712</v>
      </c>
      <c r="G425" s="249" t="n">
        <f aca="false">DEGREES( ACOS( COS(G$413)  /   SQRT( 1 + ( TAN($A425))^2 )  * SIGN( COS($A425))))</f>
        <v>133.079517141871</v>
      </c>
      <c r="H425" s="249" t="n">
        <f aca="false">DEGREES( ACOS( COS(H$413)  /   SQRT( 1 + ( TAN($A425))^2 )  * SIGN( COS($A425))))</f>
        <v>118.879094017428</v>
      </c>
      <c r="I425" s="249" t="n">
        <f aca="false">DEGREES( ACOS( COS(I$413)  /   SQRT( 1 + ( TAN($A425))^2 )  * SIGN( COS($A425))))</f>
        <v>104.47751218593</v>
      </c>
      <c r="J425" s="256" t="n">
        <f aca="false">DEGREES( ACOS( COS(J$413)  /   SQRT( 1 + ( TAN($A425))^2 )  * SIGN( COS($A425))))</f>
        <v>90</v>
      </c>
      <c r="K425" s="249" t="n">
        <f aca="false">DEGREES( ACOS( COS(K$413)  /   SQRT( 1 + ( TAN($A425))^2 )  * SIGN( COS($A425))))</f>
        <v>75.5224878140701</v>
      </c>
      <c r="L425" s="249" t="n">
        <f aca="false">DEGREES( ACOS( COS(L$413)  /   SQRT( 1 + ( TAN($A425))^2 )  * SIGN( COS($A425))))</f>
        <v>61.1209059825724</v>
      </c>
      <c r="M425" s="249" t="n">
        <f aca="false">DEGREES( ACOS( COS(M$413)  /   SQRT( 1 + ( TAN($A425))^2 )  * SIGN( COS($A425))))</f>
        <v>46.9204828581291</v>
      </c>
      <c r="N425" s="249" t="n">
        <f aca="false">DEGREES( ACOS( COS(N$413)  /   SQRT( 1 + ( TAN($A425))^2 )  * SIGN( COS($A425))))</f>
        <v>33.2259422032876</v>
      </c>
      <c r="O425" s="249" t="n">
        <f aca="false">DEGREES( ACOS( COS(O$413)  /   SQRT( 1 + ( TAN($A425))^2 )  * SIGN( COS($A425))))</f>
        <v>21.0905811789991</v>
      </c>
      <c r="P425" s="256" t="n">
        <f aca="false">DEGREES( ACOS( COS(P$413)  /   SQRT( 1 + ( TAN($A425))^2 )  * SIGN( COS($A425))))</f>
        <v>15</v>
      </c>
      <c r="Q425" s="249" t="n">
        <f aca="false">DEGREES( ACOS( COS(Q$413)  /   SQRT( 1 + ( TAN($A425))^2 )  * SIGN( COS($A425))))</f>
        <v>21.0905811789991</v>
      </c>
      <c r="R425" s="249" t="n">
        <f aca="false">DEGREES( ACOS( COS(R$413)  /   SQRT( 1 + ( TAN($A425))^2 )  * SIGN( COS($A425))))</f>
        <v>33.2259422032876</v>
      </c>
      <c r="S425" s="249" t="n">
        <f aca="false">DEGREES( ACOS( COS(S$413)  /   SQRT( 1 + ( TAN($A425))^2 )  * SIGN( COS($A425))))</f>
        <v>46.9204828581291</v>
      </c>
      <c r="T425" s="249" t="n">
        <f aca="false">DEGREES( ACOS( COS(T$413)  /   SQRT( 1 + ( TAN($A425))^2 )  * SIGN( COS($A425))))</f>
        <v>61.1209059825724</v>
      </c>
      <c r="U425" s="249" t="n">
        <f aca="false">DEGREES( ACOS( COS(U$413)  /   SQRT( 1 + ( TAN($A425))^2 )  * SIGN( COS($A425))))</f>
        <v>75.5224878140701</v>
      </c>
      <c r="V425" s="256" t="n">
        <f aca="false">DEGREES( ACOS( COS(V$413)  /   SQRT( 1 + ( TAN($A425))^2 )  * SIGN( COS($A425))))</f>
        <v>90</v>
      </c>
      <c r="W425" s="249" t="n">
        <f aca="false">DEGREES( ACOS( COS(W$413)  /   SQRT( 1 + ( TAN($A425))^2 )  * SIGN( COS($A425))))</f>
        <v>104.47751218593</v>
      </c>
      <c r="X425" s="249" t="n">
        <f aca="false">DEGREES( ACOS( COS(X$413)  /   SQRT( 1 + ( TAN($A425))^2 )  * SIGN( COS($A425))))</f>
        <v>118.879094017428</v>
      </c>
      <c r="Y425" s="249" t="n">
        <f aca="false">DEGREES( ACOS( COS(Y$413)  /   SQRT( 1 + ( TAN($A425))^2 )  * SIGN( COS($A425))))</f>
        <v>133.079517141871</v>
      </c>
      <c r="Z425" s="249" t="n">
        <f aca="false">DEGREES( ACOS( COS(Z$413)  /   SQRT( 1 + ( TAN($A425))^2 )  * SIGN( COS($A425))))</f>
        <v>146.774057796712</v>
      </c>
      <c r="AA425" s="249" t="n">
        <f aca="false">DEGREES( ACOS( COS(AA$413)  /   SQRT( 1 + ( TAN($A425))^2 )  * SIGN( COS($A425))))</f>
        <v>158.909418821001</v>
      </c>
      <c r="AB425" s="256" t="n">
        <f aca="false">DEGREES( ACOS( COS(AB$413)  /   SQRT( 1 + ( TAN($A425))^2 )  * SIGN( COS($A425))))</f>
        <v>164.999996743172</v>
      </c>
      <c r="AC425" s="195" t="n">
        <f aca="false">DEGREES( ACOS( COS(AC$413)  /   SQRT( 1 + ( TAN($A425))^2 )  * SIGN( COS($A425))))</f>
        <v>165</v>
      </c>
      <c r="AD425" s="195" t="n">
        <f aca="false">DEGREES( ACOS( COS(AD$413)  /   SQRT( 1 + ( TAN($A425))^2 )  * SIGN( COS($A425))))</f>
        <v>165</v>
      </c>
      <c r="AE425" s="1"/>
      <c r="AF425" s="1"/>
      <c r="AG425" s="1"/>
      <c r="AH425" s="1"/>
      <c r="AI425" s="1"/>
      <c r="AJ425" s="1"/>
      <c r="AK425" s="1"/>
      <c r="AL425" s="1"/>
    </row>
    <row r="426" customFormat="false" ht="12.75" hidden="false" customHeight="true" outlineLevel="0" collapsed="false">
      <c r="A426" s="192" t="n">
        <f aca="false">RADIANS(MOD(B426-180,-360)+180)</f>
        <v>3.14159265358979</v>
      </c>
      <c r="B426" s="182" t="n">
        <v>180</v>
      </c>
      <c r="C426" s="1"/>
      <c r="D426" s="256" t="n">
        <f aca="false">DEGREES( ACOS( COS(D$413)  /   SQRT( 1 + ( TAN($A426))^2 )  * SIGN( COS($A426))))</f>
        <v>179.998999999963</v>
      </c>
      <c r="E426" s="256" t="n">
        <f aca="false">DEGREES( ACOS( COS(E$413)  /   SQRT( 1 + ( TAN($A426))^2 )  * SIGN( COS($A426))))</f>
        <v>165</v>
      </c>
      <c r="F426" s="256" t="n">
        <f aca="false">DEGREES( ACOS( COS(F$413)  /   SQRT( 1 + ( TAN($A426))^2 )  * SIGN( COS($A426))))</f>
        <v>150</v>
      </c>
      <c r="G426" s="256" t="n">
        <f aca="false">DEGREES( ACOS( COS(G$413)  /   SQRT( 1 + ( TAN($A426))^2 )  * SIGN( COS($A426))))</f>
        <v>135</v>
      </c>
      <c r="H426" s="256" t="n">
        <f aca="false">DEGREES( ACOS( COS(H$413)  /   SQRT( 1 + ( TAN($A426))^2 )  * SIGN( COS($A426))))</f>
        <v>120</v>
      </c>
      <c r="I426" s="256" t="n">
        <f aca="false">DEGREES( ACOS( COS(I$413)  /   SQRT( 1 + ( TAN($A426))^2 )  * SIGN( COS($A426))))</f>
        <v>105</v>
      </c>
      <c r="J426" s="256" t="n">
        <f aca="false">DEGREES( ACOS( COS(J$413)  /   SQRT( 1 + ( TAN($A426))^2 )  * SIGN( COS($A426))))</f>
        <v>90</v>
      </c>
      <c r="K426" s="256" t="n">
        <f aca="false">DEGREES( ACOS( COS(K$413)  /   SQRT( 1 + ( TAN($A426))^2 )  * SIGN( COS($A426))))</f>
        <v>75</v>
      </c>
      <c r="L426" s="256" t="n">
        <f aca="false">DEGREES( ACOS( COS(L$413)  /   SQRT( 1 + ( TAN($A426))^2 )  * SIGN( COS($A426))))</f>
        <v>60</v>
      </c>
      <c r="M426" s="256" t="n">
        <f aca="false">DEGREES( ACOS( COS(M$413)  /   SQRT( 1 + ( TAN($A426))^2 )  * SIGN( COS($A426))))</f>
        <v>45</v>
      </c>
      <c r="N426" s="256" t="n">
        <f aca="false">DEGREES( ACOS( COS(N$413)  /   SQRT( 1 + ( TAN($A426))^2 )  * SIGN( COS($A426))))</f>
        <v>30</v>
      </c>
      <c r="O426" s="256" t="n">
        <f aca="false">DEGREES( ACOS( COS(O$413)  /   SQRT( 1 + ( TAN($A426))^2 )  * SIGN( COS($A426))))</f>
        <v>15</v>
      </c>
      <c r="P426" s="256" t="n">
        <f aca="false">DEGREES( ACOS( COS(P$413)  /   SQRT( 1 + ( TAN($A426))^2 )  * SIGN( COS($A426))))</f>
        <v>0</v>
      </c>
      <c r="Q426" s="256" t="n">
        <f aca="false">DEGREES( ACOS( COS(Q$413)  /   SQRT( 1 + ( TAN($A426))^2 )  * SIGN( COS($A426))))</f>
        <v>15</v>
      </c>
      <c r="R426" s="256" t="n">
        <f aca="false">DEGREES( ACOS( COS(R$413)  /   SQRT( 1 + ( TAN($A426))^2 )  * SIGN( COS($A426))))</f>
        <v>30</v>
      </c>
      <c r="S426" s="256" t="n">
        <f aca="false">DEGREES( ACOS( COS(S$413)  /   SQRT( 1 + ( TAN($A426))^2 )  * SIGN( COS($A426))))</f>
        <v>45</v>
      </c>
      <c r="T426" s="256" t="n">
        <f aca="false">DEGREES( ACOS( COS(T$413)  /   SQRT( 1 + ( TAN($A426))^2 )  * SIGN( COS($A426))))</f>
        <v>60</v>
      </c>
      <c r="U426" s="256" t="n">
        <f aca="false">DEGREES( ACOS( COS(U$413)  /   SQRT( 1 + ( TAN($A426))^2 )  * SIGN( COS($A426))))</f>
        <v>75</v>
      </c>
      <c r="V426" s="256" t="n">
        <f aca="false">DEGREES( ACOS( COS(V$413)  /   SQRT( 1 + ( TAN($A426))^2 )  * SIGN( COS($A426))))</f>
        <v>90</v>
      </c>
      <c r="W426" s="256" t="n">
        <f aca="false">DEGREES( ACOS( COS(W$413)  /   SQRT( 1 + ( TAN($A426))^2 )  * SIGN( COS($A426))))</f>
        <v>105</v>
      </c>
      <c r="X426" s="256" t="n">
        <f aca="false">DEGREES( ACOS( COS(X$413)  /   SQRT( 1 + ( TAN($A426))^2 )  * SIGN( COS($A426))))</f>
        <v>120</v>
      </c>
      <c r="Y426" s="256" t="n">
        <f aca="false">DEGREES( ACOS( COS(Y$413)  /   SQRT( 1 + ( TAN($A426))^2 )  * SIGN( COS($A426))))</f>
        <v>135</v>
      </c>
      <c r="Z426" s="256" t="n">
        <f aca="false">DEGREES( ACOS( COS(Z$413)  /   SQRT( 1 + ( TAN($A426))^2 )  * SIGN( COS($A426))))</f>
        <v>150</v>
      </c>
      <c r="AA426" s="256" t="n">
        <f aca="false">DEGREES( ACOS( COS(AA$413)  /   SQRT( 1 + ( TAN($A426))^2 )  * SIGN( COS($A426))))</f>
        <v>165</v>
      </c>
      <c r="AB426" s="256" t="n">
        <f aca="false">DEGREES( ACOS( COS(AB$413)  /   SQRT( 1 + ( TAN($A426))^2 )  * SIGN( COS($A426))))</f>
        <v>179.990000000017</v>
      </c>
      <c r="AC426" s="195" t="n">
        <f aca="false">DEGREES( ACOS( COS(AC$413)  /   SQRT( 1 + ( TAN($A426))^2 )  * SIGN( COS($A426))))</f>
        <v>180</v>
      </c>
      <c r="AD426" s="195" t="n">
        <f aca="false">DEGREES( ACOS( COS(AD$413)  /   SQRT( 1 + ( TAN($A426))^2 )  * SIGN( COS($A426))))</f>
        <v>180</v>
      </c>
      <c r="AE426" s="1"/>
      <c r="AF426" s="1"/>
      <c r="AG426" s="1"/>
      <c r="AH426" s="1"/>
      <c r="AI426" s="1"/>
      <c r="AJ426" s="1"/>
      <c r="AK426" s="1"/>
      <c r="AL426" s="1"/>
    </row>
    <row r="427" customFormat="false" ht="12.75" hidden="false" customHeight="true" outlineLevel="0" collapsed="false">
      <c r="A427" s="193" t="n">
        <f aca="false">RADIANS(MOD(B427-180,-360)+180)</f>
        <v>-2.87979326579064</v>
      </c>
      <c r="B427" s="182" t="n">
        <v>195</v>
      </c>
      <c r="C427" s="1"/>
      <c r="D427" s="256" t="n">
        <f aca="false">DEGREES( ACOS( COS(D$413)  /   SQRT( 1 + ( TAN($A427))^2 )  * SIGN( COS($A427))))</f>
        <v>164.999999967432</v>
      </c>
      <c r="E427" s="249" t="n">
        <f aca="false">DEGREES( ACOS( COS(E$413)  /   SQRT( 1 + ( TAN($A427))^2 )  * SIGN( COS($A427))))</f>
        <v>158.909418821001</v>
      </c>
      <c r="F427" s="249" t="n">
        <f aca="false">DEGREES( ACOS( COS(F$413)  /   SQRT( 1 + ( TAN($A427))^2 )  * SIGN( COS($A427))))</f>
        <v>146.774057796712</v>
      </c>
      <c r="G427" s="249" t="n">
        <f aca="false">DEGREES( ACOS( COS(G$413)  /   SQRT( 1 + ( TAN($A427))^2 )  * SIGN( COS($A427))))</f>
        <v>133.079517141871</v>
      </c>
      <c r="H427" s="249" t="n">
        <f aca="false">DEGREES( ACOS( COS(H$413)  /   SQRT( 1 + ( TAN($A427))^2 )  * SIGN( COS($A427))))</f>
        <v>118.879094017428</v>
      </c>
      <c r="I427" s="249" t="n">
        <f aca="false">DEGREES( ACOS( COS(I$413)  /   SQRT( 1 + ( TAN($A427))^2 )  * SIGN( COS($A427))))</f>
        <v>104.47751218593</v>
      </c>
      <c r="J427" s="256" t="n">
        <f aca="false">DEGREES( ACOS( COS(J$413)  /   SQRT( 1 + ( TAN($A427))^2 )  * SIGN( COS($A427))))</f>
        <v>90</v>
      </c>
      <c r="K427" s="249" t="n">
        <f aca="false">DEGREES( ACOS( COS(K$413)  /   SQRT( 1 + ( TAN($A427))^2 )  * SIGN( COS($A427))))</f>
        <v>75.5224878140701</v>
      </c>
      <c r="L427" s="249" t="n">
        <f aca="false">DEGREES( ACOS( COS(L$413)  /   SQRT( 1 + ( TAN($A427))^2 )  * SIGN( COS($A427))))</f>
        <v>61.1209059825724</v>
      </c>
      <c r="M427" s="249" t="n">
        <f aca="false">DEGREES( ACOS( COS(M$413)  /   SQRT( 1 + ( TAN($A427))^2 )  * SIGN( COS($A427))))</f>
        <v>46.9204828581291</v>
      </c>
      <c r="N427" s="249" t="n">
        <f aca="false">DEGREES( ACOS( COS(N$413)  /   SQRT( 1 + ( TAN($A427))^2 )  * SIGN( COS($A427))))</f>
        <v>33.2259422032876</v>
      </c>
      <c r="O427" s="249" t="n">
        <f aca="false">DEGREES( ACOS( COS(O$413)  /   SQRT( 1 + ( TAN($A427))^2 )  * SIGN( COS($A427))))</f>
        <v>21.0905811789991</v>
      </c>
      <c r="P427" s="256" t="n">
        <f aca="false">DEGREES( ACOS( COS(P$413)  /   SQRT( 1 + ( TAN($A427))^2 )  * SIGN( COS($A427))))</f>
        <v>15</v>
      </c>
      <c r="Q427" s="249" t="n">
        <f aca="false">DEGREES( ACOS( COS(Q$413)  /   SQRT( 1 + ( TAN($A427))^2 )  * SIGN( COS($A427))))</f>
        <v>21.0905811789991</v>
      </c>
      <c r="R427" s="249" t="n">
        <f aca="false">DEGREES( ACOS( COS(R$413)  /   SQRT( 1 + ( TAN($A427))^2 )  * SIGN( COS($A427))))</f>
        <v>33.2259422032876</v>
      </c>
      <c r="S427" s="249" t="n">
        <f aca="false">DEGREES( ACOS( COS(S$413)  /   SQRT( 1 + ( TAN($A427))^2 )  * SIGN( COS($A427))))</f>
        <v>46.9204828581291</v>
      </c>
      <c r="T427" s="249" t="n">
        <f aca="false">DEGREES( ACOS( COS(T$413)  /   SQRT( 1 + ( TAN($A427))^2 )  * SIGN( COS($A427))))</f>
        <v>61.1209059825724</v>
      </c>
      <c r="U427" s="249" t="n">
        <f aca="false">DEGREES( ACOS( COS(U$413)  /   SQRT( 1 + ( TAN($A427))^2 )  * SIGN( COS($A427))))</f>
        <v>75.5224878140701</v>
      </c>
      <c r="V427" s="256" t="n">
        <f aca="false">DEGREES( ACOS( COS(V$413)  /   SQRT( 1 + ( TAN($A427))^2 )  * SIGN( COS($A427))))</f>
        <v>90</v>
      </c>
      <c r="W427" s="249" t="n">
        <f aca="false">DEGREES( ACOS( COS(W$413)  /   SQRT( 1 + ( TAN($A427))^2 )  * SIGN( COS($A427))))</f>
        <v>104.47751218593</v>
      </c>
      <c r="X427" s="249" t="n">
        <f aca="false">DEGREES( ACOS( COS(X$413)  /   SQRT( 1 + ( TAN($A427))^2 )  * SIGN( COS($A427))))</f>
        <v>118.879094017428</v>
      </c>
      <c r="Y427" s="249" t="n">
        <f aca="false">DEGREES( ACOS( COS(Y$413)  /   SQRT( 1 + ( TAN($A427))^2 )  * SIGN( COS($A427))))</f>
        <v>133.079517141871</v>
      </c>
      <c r="Z427" s="249" t="n">
        <f aca="false">DEGREES( ACOS( COS(Z$413)  /   SQRT( 1 + ( TAN($A427))^2 )  * SIGN( COS($A427))))</f>
        <v>146.774057796712</v>
      </c>
      <c r="AA427" s="249" t="n">
        <f aca="false">DEGREES( ACOS( COS(AA$413)  /   SQRT( 1 + ( TAN($A427))^2 )  * SIGN( COS($A427))))</f>
        <v>158.909418821001</v>
      </c>
      <c r="AB427" s="256" t="n">
        <f aca="false">DEGREES( ACOS( COS(AB$413)  /   SQRT( 1 + ( TAN($A427))^2 )  * SIGN( COS($A427))))</f>
        <v>164.999996743172</v>
      </c>
      <c r="AC427" s="195" t="n">
        <f aca="false">DEGREES( ACOS( COS(AC$413)  /   SQRT( 1 + ( TAN($A427))^2 )  * SIGN( COS($A427))))</f>
        <v>165</v>
      </c>
      <c r="AD427" s="195" t="n">
        <f aca="false">DEGREES( ACOS( COS(AD$413)  /   SQRT( 1 + ( TAN($A427))^2 )  * SIGN( COS($A427))))</f>
        <v>165</v>
      </c>
      <c r="AE427" s="1"/>
      <c r="AF427" s="1"/>
      <c r="AG427" s="1"/>
      <c r="AH427" s="1"/>
      <c r="AI427" s="1"/>
      <c r="AJ427" s="1"/>
      <c r="AK427" s="1"/>
      <c r="AL427" s="1"/>
    </row>
    <row r="428" customFormat="false" ht="12.75" hidden="false" customHeight="true" outlineLevel="0" collapsed="false">
      <c r="A428" s="193" t="n">
        <f aca="false">RADIANS(MOD(B428-180,-360)+180)</f>
        <v>-2.61799387799149</v>
      </c>
      <c r="B428" s="182" t="n">
        <v>210</v>
      </c>
      <c r="C428" s="1"/>
      <c r="D428" s="256" t="n">
        <f aca="false">DEGREES( ACOS( COS(D$413)  /   SQRT( 1 + ( TAN($A428))^2 )  * SIGN( COS($A428))))</f>
        <v>149.999999984885</v>
      </c>
      <c r="E428" s="249" t="n">
        <f aca="false">DEGREES( ACOS( COS(E$413)  /   SQRT( 1 + ( TAN($A428))^2 )  * SIGN( COS($A428))))</f>
        <v>146.774057796712</v>
      </c>
      <c r="F428" s="249" t="n">
        <f aca="false">DEGREES( ACOS( COS(F$413)  /   SQRT( 1 + ( TAN($A428))^2 )  * SIGN( COS($A428))))</f>
        <v>138.590377890729</v>
      </c>
      <c r="G428" s="249" t="n">
        <f aca="false">DEGREES( ACOS( COS(G$413)  /   SQRT( 1 + ( TAN($A428))^2 )  * SIGN( COS($A428))))</f>
        <v>127.761243907035</v>
      </c>
      <c r="H428" s="249" t="n">
        <f aca="false">DEGREES( ACOS( COS(H$413)  /   SQRT( 1 + ( TAN($A428))^2 )  * SIGN( COS($A428))))</f>
        <v>115.658906273255</v>
      </c>
      <c r="I428" s="249" t="n">
        <f aca="false">DEGREES( ACOS( COS(I$413)  /   SQRT( 1 + ( TAN($A428))^2 )  * SIGN( COS($A428))))</f>
        <v>102.952539642222</v>
      </c>
      <c r="J428" s="256" t="n">
        <f aca="false">DEGREES( ACOS( COS(J$413)  /   SQRT( 1 + ( TAN($A428))^2 )  * SIGN( COS($A428))))</f>
        <v>90</v>
      </c>
      <c r="K428" s="249" t="n">
        <f aca="false">DEGREES( ACOS( COS(K$413)  /   SQRT( 1 + ( TAN($A428))^2 )  * SIGN( COS($A428))))</f>
        <v>77.0474603577776</v>
      </c>
      <c r="L428" s="249" t="n">
        <f aca="false">DEGREES( ACOS( COS(L$413)  /   SQRT( 1 + ( TAN($A428))^2 )  * SIGN( COS($A428))))</f>
        <v>64.3410937267447</v>
      </c>
      <c r="M428" s="249" t="n">
        <f aca="false">DEGREES( ACOS( COS(M$413)  /   SQRT( 1 + ( TAN($A428))^2 )  * SIGN( COS($A428))))</f>
        <v>52.238756092965</v>
      </c>
      <c r="N428" s="249" t="n">
        <f aca="false">DEGREES( ACOS( COS(N$413)  /   SQRT( 1 + ( TAN($A428))^2 )  * SIGN( COS($A428))))</f>
        <v>41.4096221092709</v>
      </c>
      <c r="O428" s="249" t="n">
        <f aca="false">DEGREES( ACOS( COS(O$413)  /   SQRT( 1 + ( TAN($A428))^2 )  * SIGN( COS($A428))))</f>
        <v>33.2259422032876</v>
      </c>
      <c r="P428" s="256" t="n">
        <f aca="false">DEGREES( ACOS( COS(P$413)  /   SQRT( 1 + ( TAN($A428))^2 )  * SIGN( COS($A428))))</f>
        <v>30</v>
      </c>
      <c r="Q428" s="249" t="n">
        <f aca="false">DEGREES( ACOS( COS(Q$413)  /   SQRT( 1 + ( TAN($A428))^2 )  * SIGN( COS($A428))))</f>
        <v>33.2259422032876</v>
      </c>
      <c r="R428" s="249" t="n">
        <f aca="false">DEGREES( ACOS( COS(R$413)  /   SQRT( 1 + ( TAN($A428))^2 )  * SIGN( COS($A428))))</f>
        <v>41.4096221092709</v>
      </c>
      <c r="S428" s="249" t="n">
        <f aca="false">DEGREES( ACOS( COS(S$413)  /   SQRT( 1 + ( TAN($A428))^2 )  * SIGN( COS($A428))))</f>
        <v>52.238756092965</v>
      </c>
      <c r="T428" s="249" t="n">
        <f aca="false">DEGREES( ACOS( COS(T$413)  /   SQRT( 1 + ( TAN($A428))^2 )  * SIGN( COS($A428))))</f>
        <v>64.3410937267447</v>
      </c>
      <c r="U428" s="249" t="n">
        <f aca="false">DEGREES( ACOS( COS(U$413)  /   SQRT( 1 + ( TAN($A428))^2 )  * SIGN( COS($A428))))</f>
        <v>77.0474603577776</v>
      </c>
      <c r="V428" s="256" t="n">
        <f aca="false">DEGREES( ACOS( COS(V$413)  /   SQRT( 1 + ( TAN($A428))^2 )  * SIGN( COS($A428))))</f>
        <v>90</v>
      </c>
      <c r="W428" s="249" t="n">
        <f aca="false">DEGREES( ACOS( COS(W$413)  /   SQRT( 1 + ( TAN($A428))^2 )  * SIGN( COS($A428))))</f>
        <v>102.952539642222</v>
      </c>
      <c r="X428" s="249" t="n">
        <f aca="false">DEGREES( ACOS( COS(X$413)  /   SQRT( 1 + ( TAN($A428))^2 )  * SIGN( COS($A428))))</f>
        <v>115.658906273255</v>
      </c>
      <c r="Y428" s="249" t="n">
        <f aca="false">DEGREES( ACOS( COS(Y$413)  /   SQRT( 1 + ( TAN($A428))^2 )  * SIGN( COS($A428))))</f>
        <v>127.761243907035</v>
      </c>
      <c r="Z428" s="249" t="n">
        <f aca="false">DEGREES( ACOS( COS(Z$413)  /   SQRT( 1 + ( TAN($A428))^2 )  * SIGN( COS($A428))))</f>
        <v>138.590377890729</v>
      </c>
      <c r="AA428" s="249" t="n">
        <f aca="false">DEGREES( ACOS( COS(AA$413)  /   SQRT( 1 + ( TAN($A428))^2 )  * SIGN( COS($A428))))</f>
        <v>146.774057796712</v>
      </c>
      <c r="AB428" s="256" t="n">
        <f aca="false">DEGREES( ACOS( COS(AB$413)  /   SQRT( 1 + ( TAN($A428))^2 )  * SIGN( COS($A428))))</f>
        <v>149.999998488501</v>
      </c>
      <c r="AC428" s="195" t="n">
        <f aca="false">DEGREES( ACOS( COS(AC$413)  /   SQRT( 1 + ( TAN($A428))^2 )  * SIGN( COS($A428))))</f>
        <v>150</v>
      </c>
      <c r="AD428" s="195" t="n">
        <f aca="false">DEGREES( ACOS( COS(AD$413)  /   SQRT( 1 + ( TAN($A428))^2 )  * SIGN( COS($A428))))</f>
        <v>150</v>
      </c>
      <c r="AE428" s="1"/>
      <c r="AF428" s="1"/>
      <c r="AG428" s="1"/>
      <c r="AH428" s="1"/>
      <c r="AI428" s="1"/>
      <c r="AJ428" s="1"/>
      <c r="AK428" s="1"/>
      <c r="AL428" s="1"/>
    </row>
    <row r="429" customFormat="false" ht="12.75" hidden="false" customHeight="true" outlineLevel="0" collapsed="false">
      <c r="A429" s="193" t="n">
        <f aca="false">RADIANS(MOD(B429-180,-360)+180)</f>
        <v>-2.35619449019234</v>
      </c>
      <c r="B429" s="182" t="n">
        <v>225</v>
      </c>
      <c r="C429" s="1"/>
      <c r="D429" s="256" t="n">
        <f aca="false">DEGREES( ACOS( COS(D$413)  /   SQRT( 1 + ( TAN($A429))^2 )  * SIGN( COS($A429))))</f>
        <v>134.999999991273</v>
      </c>
      <c r="E429" s="249" t="n">
        <f aca="false">DEGREES( ACOS( COS(E$413)  /   SQRT( 1 + ( TAN($A429))^2 )  * SIGN( COS($A429))))</f>
        <v>133.079517141871</v>
      </c>
      <c r="F429" s="249" t="n">
        <f aca="false">DEGREES( ACOS( COS(F$413)  /   SQRT( 1 + ( TAN($A429))^2 )  * SIGN( COS($A429))))</f>
        <v>127.761243907035</v>
      </c>
      <c r="G429" s="249" t="n">
        <f aca="false">DEGREES( ACOS( COS(G$413)  /   SQRT( 1 + ( TAN($A429))^2 )  * SIGN( COS($A429))))</f>
        <v>120</v>
      </c>
      <c r="H429" s="249" t="n">
        <f aca="false">DEGREES( ACOS( COS(H$413)  /   SQRT( 1 + ( TAN($A429))^2 )  * SIGN( COS($A429))))</f>
        <v>110.704811054635</v>
      </c>
      <c r="I429" s="249" t="n">
        <f aca="false">DEGREES( ACOS( COS(I$413)  /   SQRT( 1 + ( TAN($A429))^2 )  * SIGN( COS($A429))))</f>
        <v>100.5452905895</v>
      </c>
      <c r="J429" s="256" t="n">
        <f aca="false">DEGREES( ACOS( COS(J$413)  /   SQRT( 1 + ( TAN($A429))^2 )  * SIGN( COS($A429))))</f>
        <v>90</v>
      </c>
      <c r="K429" s="249" t="n">
        <f aca="false">DEGREES( ACOS( COS(K$413)  /   SQRT( 1 + ( TAN($A429))^2 )  * SIGN( COS($A429))))</f>
        <v>79.4547094105004</v>
      </c>
      <c r="L429" s="249" t="n">
        <f aca="false">DEGREES( ACOS( COS(L$413)  /   SQRT( 1 + ( TAN($A429))^2 )  * SIGN( COS($A429))))</f>
        <v>69.2951889453646</v>
      </c>
      <c r="M429" s="249" t="n">
        <f aca="false">DEGREES( ACOS( COS(M$413)  /   SQRT( 1 + ( TAN($A429))^2 )  * SIGN( COS($A429))))</f>
        <v>60</v>
      </c>
      <c r="N429" s="249" t="n">
        <f aca="false">DEGREES( ACOS( COS(N$413)  /   SQRT( 1 + ( TAN($A429))^2 )  * SIGN( COS($A429))))</f>
        <v>52.238756092965</v>
      </c>
      <c r="O429" s="249" t="n">
        <f aca="false">DEGREES( ACOS( COS(O$413)  /   SQRT( 1 + ( TAN($A429))^2 )  * SIGN( COS($A429))))</f>
        <v>46.9204828581291</v>
      </c>
      <c r="P429" s="256" t="n">
        <f aca="false">DEGREES( ACOS( COS(P$413)  /   SQRT( 1 + ( TAN($A429))^2 )  * SIGN( COS($A429))))</f>
        <v>45</v>
      </c>
      <c r="Q429" s="249" t="n">
        <f aca="false">DEGREES( ACOS( COS(Q$413)  /   SQRT( 1 + ( TAN($A429))^2 )  * SIGN( COS($A429))))</f>
        <v>46.9204828581291</v>
      </c>
      <c r="R429" s="249" t="n">
        <f aca="false">DEGREES( ACOS( COS(R$413)  /   SQRT( 1 + ( TAN($A429))^2 )  * SIGN( COS($A429))))</f>
        <v>52.238756092965</v>
      </c>
      <c r="S429" s="249" t="n">
        <f aca="false">DEGREES( ACOS( COS(S$413)  /   SQRT( 1 + ( TAN($A429))^2 )  * SIGN( COS($A429))))</f>
        <v>60</v>
      </c>
      <c r="T429" s="249" t="n">
        <f aca="false">DEGREES( ACOS( COS(T$413)  /   SQRT( 1 + ( TAN($A429))^2 )  * SIGN( COS($A429))))</f>
        <v>69.2951889453646</v>
      </c>
      <c r="U429" s="249" t="n">
        <f aca="false">DEGREES( ACOS( COS(U$413)  /   SQRT( 1 + ( TAN($A429))^2 )  * SIGN( COS($A429))))</f>
        <v>79.4547094105004</v>
      </c>
      <c r="V429" s="256" t="n">
        <f aca="false">DEGREES( ACOS( COS(V$413)  /   SQRT( 1 + ( TAN($A429))^2 )  * SIGN( COS($A429))))</f>
        <v>90</v>
      </c>
      <c r="W429" s="249" t="n">
        <f aca="false">DEGREES( ACOS( COS(W$413)  /   SQRT( 1 + ( TAN($A429))^2 )  * SIGN( COS($A429))))</f>
        <v>100.5452905895</v>
      </c>
      <c r="X429" s="249" t="n">
        <f aca="false">DEGREES( ACOS( COS(X$413)  /   SQRT( 1 + ( TAN($A429))^2 )  * SIGN( COS($A429))))</f>
        <v>110.704811054635</v>
      </c>
      <c r="Y429" s="249" t="n">
        <f aca="false">DEGREES( ACOS( COS(Y$413)  /   SQRT( 1 + ( TAN($A429))^2 )  * SIGN( COS($A429))))</f>
        <v>120</v>
      </c>
      <c r="Z429" s="249" t="n">
        <f aca="false">DEGREES( ACOS( COS(Z$413)  /   SQRT( 1 + ( TAN($A429))^2 )  * SIGN( COS($A429))))</f>
        <v>127.761243907035</v>
      </c>
      <c r="AA429" s="249" t="n">
        <f aca="false">DEGREES( ACOS( COS(AA$413)  /   SQRT( 1 + ( TAN($A429))^2 )  * SIGN( COS($A429))))</f>
        <v>133.079517141871</v>
      </c>
      <c r="AB429" s="256" t="n">
        <f aca="false">DEGREES( ACOS( COS(AB$413)  /   SQRT( 1 + ( TAN($A429))^2 )  * SIGN( COS($A429))))</f>
        <v>134.999999127335</v>
      </c>
      <c r="AC429" s="195" t="n">
        <f aca="false">DEGREES( ACOS( COS(AC$413)  /   SQRT( 1 + ( TAN($A429))^2 )  * SIGN( COS($A429))))</f>
        <v>135</v>
      </c>
      <c r="AD429" s="195" t="n">
        <f aca="false">DEGREES( ACOS( COS(AD$413)  /   SQRT( 1 + ( TAN($A429))^2 )  * SIGN( COS($A429))))</f>
        <v>135</v>
      </c>
      <c r="AE429" s="1"/>
      <c r="AF429" s="1"/>
      <c r="AG429" s="1"/>
      <c r="AH429" s="1"/>
      <c r="AI429" s="1"/>
      <c r="AJ429" s="1"/>
      <c r="AK429" s="1"/>
      <c r="AL429" s="1"/>
    </row>
    <row r="430" customFormat="false" ht="12.75" hidden="false" customHeight="true" outlineLevel="0" collapsed="false">
      <c r="A430" s="193" t="n">
        <f aca="false">RADIANS(MOD(B430-180,-360)+180)</f>
        <v>-2.0943951023932</v>
      </c>
      <c r="B430" s="182" t="n">
        <v>240</v>
      </c>
      <c r="C430" s="1"/>
      <c r="D430" s="256" t="n">
        <f aca="false">DEGREES( ACOS( COS(D$413)  /   SQRT( 1 + ( TAN($A430))^2 )  * SIGN( COS($A430))))</f>
        <v>119.999999994962</v>
      </c>
      <c r="E430" s="249" t="n">
        <f aca="false">DEGREES( ACOS( COS(E$413)  /   SQRT( 1 + ( TAN($A430))^2 )  * SIGN( COS($A430))))</f>
        <v>118.879094017428</v>
      </c>
      <c r="F430" s="249" t="n">
        <f aca="false">DEGREES( ACOS( COS(F$413)  /   SQRT( 1 + ( TAN($A430))^2 )  * SIGN( COS($A430))))</f>
        <v>115.658906273255</v>
      </c>
      <c r="G430" s="249" t="n">
        <f aca="false">DEGREES( ACOS( COS(G$413)  /   SQRT( 1 + ( TAN($A430))^2 )  * SIGN( COS($A430))))</f>
        <v>110.704811054635</v>
      </c>
      <c r="H430" s="249" t="n">
        <f aca="false">DEGREES( ACOS( COS(H$413)  /   SQRT( 1 + ( TAN($A430))^2 )  * SIGN( COS($A430))))</f>
        <v>104.47751218593</v>
      </c>
      <c r="I430" s="249" t="n">
        <f aca="false">DEGREES( ACOS( COS(I$413)  /   SQRT( 1 + ( TAN($A430))^2 )  * SIGN( COS($A430))))</f>
        <v>97.4354722261319</v>
      </c>
      <c r="J430" s="256" t="n">
        <f aca="false">DEGREES( ACOS( COS(J$413)  /   SQRT( 1 + ( TAN($A430))^2 )  * SIGN( COS($A430))))</f>
        <v>90</v>
      </c>
      <c r="K430" s="249" t="n">
        <f aca="false">DEGREES( ACOS( COS(K$413)  /   SQRT( 1 + ( TAN($A430))^2 )  * SIGN( COS($A430))))</f>
        <v>82.5645277738682</v>
      </c>
      <c r="L430" s="249" t="n">
        <f aca="false">DEGREES( ACOS( COS(L$413)  /   SQRT( 1 + ( TAN($A430))^2 )  * SIGN( COS($A430))))</f>
        <v>75.5224878140701</v>
      </c>
      <c r="M430" s="249" t="n">
        <f aca="false">DEGREES( ACOS( COS(M$413)  /   SQRT( 1 + ( TAN($A430))^2 )  * SIGN( COS($A430))))</f>
        <v>69.2951889453646</v>
      </c>
      <c r="N430" s="249" t="n">
        <f aca="false">DEGREES( ACOS( COS(N$413)  /   SQRT( 1 + ( TAN($A430))^2 )  * SIGN( COS($A430))))</f>
        <v>64.3410937267447</v>
      </c>
      <c r="O430" s="249" t="n">
        <f aca="false">DEGREES( ACOS( COS(O$413)  /   SQRT( 1 + ( TAN($A430))^2 )  * SIGN( COS($A430))))</f>
        <v>61.1209059825724</v>
      </c>
      <c r="P430" s="256" t="n">
        <f aca="false">DEGREES( ACOS( COS(P$413)  /   SQRT( 1 + ( TAN($A430))^2 )  * SIGN( COS($A430))))</f>
        <v>60</v>
      </c>
      <c r="Q430" s="249" t="n">
        <f aca="false">DEGREES( ACOS( COS(Q$413)  /   SQRT( 1 + ( TAN($A430))^2 )  * SIGN( COS($A430))))</f>
        <v>61.1209059825724</v>
      </c>
      <c r="R430" s="249" t="n">
        <f aca="false">DEGREES( ACOS( COS(R$413)  /   SQRT( 1 + ( TAN($A430))^2 )  * SIGN( COS($A430))))</f>
        <v>64.3410937267447</v>
      </c>
      <c r="S430" s="249" t="n">
        <f aca="false">DEGREES( ACOS( COS(S$413)  /   SQRT( 1 + ( TAN($A430))^2 )  * SIGN( COS($A430))))</f>
        <v>69.2951889453646</v>
      </c>
      <c r="T430" s="249" t="n">
        <f aca="false">DEGREES( ACOS( COS(T$413)  /   SQRT( 1 + ( TAN($A430))^2 )  * SIGN( COS($A430))))</f>
        <v>75.5224878140701</v>
      </c>
      <c r="U430" s="249" t="n">
        <f aca="false">DEGREES( ACOS( COS(U$413)  /   SQRT( 1 + ( TAN($A430))^2 )  * SIGN( COS($A430))))</f>
        <v>82.5645277738682</v>
      </c>
      <c r="V430" s="256" t="n">
        <f aca="false">DEGREES( ACOS( COS(V$413)  /   SQRT( 1 + ( TAN($A430))^2 )  * SIGN( COS($A430))))</f>
        <v>90</v>
      </c>
      <c r="W430" s="249" t="n">
        <f aca="false">DEGREES( ACOS( COS(W$413)  /   SQRT( 1 + ( TAN($A430))^2 )  * SIGN( COS($A430))))</f>
        <v>97.4354722261319</v>
      </c>
      <c r="X430" s="249" t="n">
        <f aca="false">DEGREES( ACOS( COS(X$413)  /   SQRT( 1 + ( TAN($A430))^2 )  * SIGN( COS($A430))))</f>
        <v>104.47751218593</v>
      </c>
      <c r="Y430" s="249" t="n">
        <f aca="false">DEGREES( ACOS( COS(Y$413)  /   SQRT( 1 + ( TAN($A430))^2 )  * SIGN( COS($A430))))</f>
        <v>110.704811054635</v>
      </c>
      <c r="Z430" s="249" t="n">
        <f aca="false">DEGREES( ACOS( COS(Z$413)  /   SQRT( 1 + ( TAN($A430))^2 )  * SIGN( COS($A430))))</f>
        <v>115.658906273255</v>
      </c>
      <c r="AA430" s="249" t="n">
        <f aca="false">DEGREES( ACOS( COS(AA$413)  /   SQRT( 1 + ( TAN($A430))^2 )  * SIGN( COS($A430))))</f>
        <v>118.879094017428</v>
      </c>
      <c r="AB430" s="256" t="n">
        <f aca="false">DEGREES( ACOS( COS(AB$413)  /   SQRT( 1 + ( TAN($A430))^2 )  * SIGN( COS($A430))))</f>
        <v>119.999999496167</v>
      </c>
      <c r="AC430" s="195" t="n">
        <f aca="false">DEGREES( ACOS( COS(AC$413)  /   SQRT( 1 + ( TAN($A430))^2 )  * SIGN( COS($A430))))</f>
        <v>120</v>
      </c>
      <c r="AD430" s="195" t="n">
        <f aca="false">DEGREES( ACOS( COS(AD$413)  /   SQRT( 1 + ( TAN($A430))^2 )  * SIGN( COS($A430))))</f>
        <v>120</v>
      </c>
      <c r="AE430" s="1"/>
      <c r="AF430" s="1"/>
      <c r="AG430" s="1"/>
      <c r="AH430" s="1"/>
      <c r="AI430" s="1"/>
      <c r="AJ430" s="1"/>
      <c r="AK430" s="1"/>
      <c r="AL430" s="1"/>
    </row>
    <row r="431" customFormat="false" ht="12.75" hidden="false" customHeight="true" outlineLevel="0" collapsed="false">
      <c r="A431" s="193" t="n">
        <f aca="false">RADIANS(MOD(B431-180,-360)+180)</f>
        <v>-1.83259571459405</v>
      </c>
      <c r="B431" s="182" t="n">
        <v>255</v>
      </c>
      <c r="C431" s="1"/>
      <c r="D431" s="256" t="n">
        <f aca="false">DEGREES( ACOS( COS(D$413)  /   SQRT( 1 + ( TAN($A431))^2 )  * SIGN( COS($A431))))</f>
        <v>104.999999997662</v>
      </c>
      <c r="E431" s="249" t="n">
        <f aca="false">DEGREES( ACOS( COS(E$413)  /   SQRT( 1 + ( TAN($A431))^2 )  * SIGN( COS($A431))))</f>
        <v>104.47751218593</v>
      </c>
      <c r="F431" s="249" t="n">
        <f aca="false">DEGREES( ACOS( COS(F$413)  /   SQRT( 1 + ( TAN($A431))^2 )  * SIGN( COS($A431))))</f>
        <v>102.952539642222</v>
      </c>
      <c r="G431" s="249" t="n">
        <f aca="false">DEGREES( ACOS( COS(G$413)  /   SQRT( 1 + ( TAN($A431))^2 )  * SIGN( COS($A431))))</f>
        <v>100.5452905895</v>
      </c>
      <c r="H431" s="249" t="n">
        <f aca="false">DEGREES( ACOS( COS(H$413)  /   SQRT( 1 + ( TAN($A431))^2 )  * SIGN( COS($A431))))</f>
        <v>97.4354722261319</v>
      </c>
      <c r="I431" s="249" t="n">
        <f aca="false">DEGREES( ACOS( COS(I$413)  /   SQRT( 1 + ( TAN($A431))^2 )  * SIGN( COS($A431))))</f>
        <v>93.8409657162582</v>
      </c>
      <c r="J431" s="256" t="n">
        <f aca="false">DEGREES( ACOS( COS(J$413)  /   SQRT( 1 + ( TAN($A431))^2 )  * SIGN( COS($A431))))</f>
        <v>90</v>
      </c>
      <c r="K431" s="249" t="n">
        <f aca="false">DEGREES( ACOS( COS(K$413)  /   SQRT( 1 + ( TAN($A431))^2 )  * SIGN( COS($A431))))</f>
        <v>86.1590342837419</v>
      </c>
      <c r="L431" s="249" t="n">
        <f aca="false">DEGREES( ACOS( COS(L$413)  /   SQRT( 1 + ( TAN($A431))^2 )  * SIGN( COS($A431))))</f>
        <v>82.5645277738682</v>
      </c>
      <c r="M431" s="249" t="n">
        <f aca="false">DEGREES( ACOS( COS(M$413)  /   SQRT( 1 + ( TAN($A431))^2 )  * SIGN( COS($A431))))</f>
        <v>79.4547094105004</v>
      </c>
      <c r="N431" s="249" t="n">
        <f aca="false">DEGREES( ACOS( COS(N$413)  /   SQRT( 1 + ( TAN($A431))^2 )  * SIGN( COS($A431))))</f>
        <v>77.0474603577776</v>
      </c>
      <c r="O431" s="249" t="n">
        <f aca="false">DEGREES( ACOS( COS(O$413)  /   SQRT( 1 + ( TAN($A431))^2 )  * SIGN( COS($A431))))</f>
        <v>75.5224878140701</v>
      </c>
      <c r="P431" s="256" t="n">
        <f aca="false">DEGREES( ACOS( COS(P$413)  /   SQRT( 1 + ( TAN($A431))^2 )  * SIGN( COS($A431))))</f>
        <v>75</v>
      </c>
      <c r="Q431" s="249" t="n">
        <f aca="false">DEGREES( ACOS( COS(Q$413)  /   SQRT( 1 + ( TAN($A431))^2 )  * SIGN( COS($A431))))</f>
        <v>75.5224878140701</v>
      </c>
      <c r="R431" s="249" t="n">
        <f aca="false">DEGREES( ACOS( COS(R$413)  /   SQRT( 1 + ( TAN($A431))^2 )  * SIGN( COS($A431))))</f>
        <v>77.0474603577776</v>
      </c>
      <c r="S431" s="249" t="n">
        <f aca="false">DEGREES( ACOS( COS(S$413)  /   SQRT( 1 + ( TAN($A431))^2 )  * SIGN( COS($A431))))</f>
        <v>79.4547094105004</v>
      </c>
      <c r="T431" s="249" t="n">
        <f aca="false">DEGREES( ACOS( COS(T$413)  /   SQRT( 1 + ( TAN($A431))^2 )  * SIGN( COS($A431))))</f>
        <v>82.5645277738682</v>
      </c>
      <c r="U431" s="249" t="n">
        <f aca="false">DEGREES( ACOS( COS(U$413)  /   SQRT( 1 + ( TAN($A431))^2 )  * SIGN( COS($A431))))</f>
        <v>86.1590342837419</v>
      </c>
      <c r="V431" s="256" t="n">
        <f aca="false">DEGREES( ACOS( COS(V$413)  /   SQRT( 1 + ( TAN($A431))^2 )  * SIGN( COS($A431))))</f>
        <v>90</v>
      </c>
      <c r="W431" s="249" t="n">
        <f aca="false">DEGREES( ACOS( COS(W$413)  /   SQRT( 1 + ( TAN($A431))^2 )  * SIGN( COS($A431))))</f>
        <v>93.8409657162582</v>
      </c>
      <c r="X431" s="249" t="n">
        <f aca="false">DEGREES( ACOS( COS(X$413)  /   SQRT( 1 + ( TAN($A431))^2 )  * SIGN( COS($A431))))</f>
        <v>97.4354722261319</v>
      </c>
      <c r="Y431" s="249" t="n">
        <f aca="false">DEGREES( ACOS( COS(Y$413)  /   SQRT( 1 + ( TAN($A431))^2 )  * SIGN( COS($A431))))</f>
        <v>100.5452905895</v>
      </c>
      <c r="Z431" s="249" t="n">
        <f aca="false">DEGREES( ACOS( COS(Z$413)  /   SQRT( 1 + ( TAN($A431))^2 )  * SIGN( COS($A431))))</f>
        <v>102.952539642222</v>
      </c>
      <c r="AA431" s="249" t="n">
        <f aca="false">DEGREES( ACOS( COS(AA$413)  /   SQRT( 1 + ( TAN($A431))^2 )  * SIGN( COS($A431))))</f>
        <v>104.47751218593</v>
      </c>
      <c r="AB431" s="256" t="n">
        <f aca="false">DEGREES( ACOS( COS(AB$413)  /   SQRT( 1 + ( TAN($A431))^2 )  * SIGN( COS($A431))))</f>
        <v>104.99999976617</v>
      </c>
      <c r="AC431" s="195" t="n">
        <f aca="false">DEGREES( ACOS( COS(AC$413)  /   SQRT( 1 + ( TAN($A431))^2 )  * SIGN( COS($A431))))</f>
        <v>105</v>
      </c>
      <c r="AD431" s="195" t="n">
        <f aca="false">DEGREES( ACOS( COS(AD$413)  /   SQRT( 1 + ( TAN($A431))^2 )  * SIGN( COS($A431))))</f>
        <v>105</v>
      </c>
      <c r="AE431" s="1"/>
      <c r="AF431" s="1"/>
      <c r="AG431" s="1"/>
      <c r="AH431" s="1"/>
      <c r="AI431" s="1"/>
      <c r="AJ431" s="1"/>
      <c r="AK431" s="1"/>
      <c r="AL431" s="1"/>
    </row>
    <row r="432" customFormat="false" ht="12.75" hidden="false" customHeight="true" outlineLevel="0" collapsed="false">
      <c r="A432" s="193" t="n">
        <f aca="false">RADIANS(MOD(B432-180,-360)+180)</f>
        <v>-1.5707963267949</v>
      </c>
      <c r="B432" s="182" t="n">
        <v>270</v>
      </c>
      <c r="C432" s="1"/>
      <c r="D432" s="256" t="n">
        <f aca="false">DEGREES( ACOS( COS(D$413)  /   SQRT( 1 + ( TAN($A432))^2 )))</f>
        <v>90</v>
      </c>
      <c r="E432" s="256" t="n">
        <f aca="false">DEGREES( ACOS( COS(E$413)  /   SQRT( 1 + ( TAN($A432))^2 )))</f>
        <v>90</v>
      </c>
      <c r="F432" s="256" t="n">
        <f aca="false">DEGREES( ACOS( COS(F$413)  /   SQRT( 1 + ( TAN($A432))^2 )))</f>
        <v>90</v>
      </c>
      <c r="G432" s="256" t="n">
        <f aca="false">DEGREES( ACOS( COS(G$413)  /   SQRT( 1 + ( TAN($A432))^2 )))</f>
        <v>90</v>
      </c>
      <c r="H432" s="256" t="n">
        <f aca="false">DEGREES( ACOS( COS(H$413)  /   SQRT( 1 + ( TAN($A432))^2 )))</f>
        <v>90</v>
      </c>
      <c r="I432" s="256" t="n">
        <f aca="false">DEGREES( ACOS( COS(I$413)  /   SQRT( 1 + ( TAN($A432))^2 )))</f>
        <v>90</v>
      </c>
      <c r="J432" s="256" t="n">
        <f aca="false">DEGREES( ACOS( COS(J$413)  /   SQRT( 1 + ( TAN($A432))^2 )))</f>
        <v>90</v>
      </c>
      <c r="K432" s="256" t="n">
        <f aca="false">DEGREES( ACOS( COS(K$413)  /   SQRT( 1 + ( TAN($A432))^2 )))</f>
        <v>90</v>
      </c>
      <c r="L432" s="256" t="n">
        <f aca="false">DEGREES( ACOS( COS(L$413)  /   SQRT( 1 + ( TAN($A432))^2 )))</f>
        <v>90</v>
      </c>
      <c r="M432" s="256" t="n">
        <f aca="false">DEGREES( ACOS( COS(M$413)  /   SQRT( 1 + ( TAN($A432))^2 )))</f>
        <v>90</v>
      </c>
      <c r="N432" s="256" t="n">
        <f aca="false">DEGREES( ACOS( COS(N$413)  /   SQRT( 1 + ( TAN($A432))^2 )))</f>
        <v>90</v>
      </c>
      <c r="O432" s="256" t="n">
        <f aca="false">DEGREES( ACOS( COS(O$413)  /   SQRT( 1 + ( TAN($A432))^2 )))</f>
        <v>90</v>
      </c>
      <c r="P432" s="256" t="n">
        <f aca="false">DEGREES( ACOS( COS(P$413)  /   SQRT( 1 + ( TAN($A432))^2 )))</f>
        <v>90</v>
      </c>
      <c r="Q432" s="256" t="n">
        <f aca="false">DEGREES( ACOS( COS(Q$413)  /   SQRT( 1 + ( TAN($A432))^2 )))</f>
        <v>90</v>
      </c>
      <c r="R432" s="256" t="n">
        <f aca="false">DEGREES( ACOS( COS(R$413)  /   SQRT( 1 + ( TAN($A432))^2 )))</f>
        <v>90</v>
      </c>
      <c r="S432" s="256" t="n">
        <f aca="false">DEGREES( ACOS( COS(S$413)  /   SQRT( 1 + ( TAN($A432))^2 )))</f>
        <v>90</v>
      </c>
      <c r="T432" s="256" t="n">
        <f aca="false">DEGREES( ACOS( COS(T$413)  /   SQRT( 1 + ( TAN($A432))^2 )))</f>
        <v>90</v>
      </c>
      <c r="U432" s="256" t="n">
        <f aca="false">DEGREES( ACOS( COS(U$413)  /   SQRT( 1 + ( TAN($A432))^2 )))</f>
        <v>90</v>
      </c>
      <c r="V432" s="256" t="n">
        <f aca="false">DEGREES( ACOS( COS(V$413)  /   SQRT( 1 + ( TAN($A432))^2 )))</f>
        <v>90</v>
      </c>
      <c r="W432" s="256" t="n">
        <f aca="false">DEGREES( ACOS( COS(W$413)  /   SQRT( 1 + ( TAN($A432))^2 )))</f>
        <v>90</v>
      </c>
      <c r="X432" s="256" t="n">
        <f aca="false">DEGREES( ACOS( COS(X$413)  /   SQRT( 1 + ( TAN($A432))^2 )))</f>
        <v>90</v>
      </c>
      <c r="Y432" s="256" t="n">
        <f aca="false">DEGREES( ACOS( COS(Y$413)  /   SQRT( 1 + ( TAN($A432))^2 )))</f>
        <v>90</v>
      </c>
      <c r="Z432" s="256" t="n">
        <f aca="false">DEGREES( ACOS( COS(Z$413)  /   SQRT( 1 + ( TAN($A432))^2 )))</f>
        <v>90</v>
      </c>
      <c r="AA432" s="256" t="n">
        <f aca="false">DEGREES( ACOS( COS(AA$413)  /   SQRT( 1 + ( TAN($A432))^2 )))</f>
        <v>90</v>
      </c>
      <c r="AB432" s="256" t="n">
        <f aca="false">DEGREES( ACOS( COS(AB$413)  /   SQRT( 1 + ( TAN($A432))^2 )))</f>
        <v>90</v>
      </c>
      <c r="AC432" s="195" t="n">
        <f aca="false">DEGREES( ACOS( COS(AC$413)  /   SQRT( 1 + ( TAN($A432))^2 )  * SIGN( COS($A432))))</f>
        <v>90</v>
      </c>
      <c r="AD432" s="195" t="n">
        <f aca="false">DEGREES( ACOS( COS(AD$413)  /   SQRT( 1 + ( TAN($A432))^2 )  * SIGN( COS($A432))))</f>
        <v>90</v>
      </c>
      <c r="AE432" s="1"/>
      <c r="AF432" s="1"/>
      <c r="AG432" s="1"/>
      <c r="AH432" s="1"/>
      <c r="AI432" s="1"/>
      <c r="AJ432" s="1"/>
      <c r="AK432" s="1"/>
      <c r="AL432" s="1"/>
    </row>
    <row r="433" customFormat="false" ht="12.75" hidden="false" customHeight="true" outlineLevel="0" collapsed="false">
      <c r="A433" s="193" t="n">
        <f aca="false">RADIANS(MOD(B433-180,-360)+180)</f>
        <v>-1.30899693899575</v>
      </c>
      <c r="B433" s="182" t="n">
        <v>285</v>
      </c>
      <c r="C433" s="1"/>
      <c r="D433" s="256" t="n">
        <f aca="false">DEGREES( ACOS( COS(D$413)  /   SQRT( 1 + ( TAN($A433))^2 )))</f>
        <v>75.0000000023383</v>
      </c>
      <c r="E433" s="210" t="n">
        <f aca="false">DEGREES( ACOS( COS(E$413)  /   SQRT( 1 + ( TAN($A433))^2 )))</f>
        <v>75.5224878140701</v>
      </c>
      <c r="F433" s="210" t="n">
        <f aca="false">DEGREES( ACOS( COS(F$413)  /   SQRT( 1 + ( TAN($A433))^2 )))</f>
        <v>77.0474603577776</v>
      </c>
      <c r="G433" s="210" t="n">
        <f aca="false">DEGREES( ACOS( COS(G$413)  /   SQRT( 1 + ( TAN($A433))^2 )))</f>
        <v>79.4547094105005</v>
      </c>
      <c r="H433" s="210" t="n">
        <f aca="false">DEGREES( ACOS( COS(H$413)  /   SQRT( 1 + ( TAN($A433))^2 )))</f>
        <v>82.5645277738682</v>
      </c>
      <c r="I433" s="210" t="n">
        <f aca="false">DEGREES( ACOS( COS(I$413)  /   SQRT( 1 + ( TAN($A433))^2 )))</f>
        <v>86.1590342837419</v>
      </c>
      <c r="J433" s="256" t="n">
        <f aca="false">DEGREES( ACOS( COS(J$413)  /   SQRT( 1 + ( TAN($A433))^2 )))</f>
        <v>90</v>
      </c>
      <c r="K433" s="210" t="n">
        <f aca="false">DEGREES( ACOS( COS(K$413)  /   SQRT( 1 + ( TAN($A433))^2 )))</f>
        <v>93.8409657162582</v>
      </c>
      <c r="L433" s="210" t="n">
        <f aca="false">DEGREES( ACOS( COS(L$413)  /   SQRT( 1 + ( TAN($A433))^2 )))</f>
        <v>97.4354722261319</v>
      </c>
      <c r="M433" s="210" t="n">
        <f aca="false">DEGREES( ACOS( COS(M$413)  /   SQRT( 1 + ( TAN($A433))^2 )))</f>
        <v>100.5452905895</v>
      </c>
      <c r="N433" s="210" t="n">
        <f aca="false">DEGREES( ACOS( COS(N$413)  /   SQRT( 1 + ( TAN($A433))^2 )))</f>
        <v>102.952539642222</v>
      </c>
      <c r="O433" s="210" t="n">
        <f aca="false">DEGREES( ACOS( COS(O$413)  /   SQRT( 1 + ( TAN($A433))^2 )))</f>
        <v>104.47751218593</v>
      </c>
      <c r="P433" s="256" t="n">
        <f aca="false">DEGREES( ACOS( COS(P$413)  /   SQRT( 1 + ( TAN($A433))^2 )))</f>
        <v>105</v>
      </c>
      <c r="Q433" s="210" t="n">
        <f aca="false">DEGREES( ACOS( COS(Q$413)  /   SQRT( 1 + ( TAN($A433))^2 )))</f>
        <v>104.47751218593</v>
      </c>
      <c r="R433" s="210" t="n">
        <f aca="false">DEGREES( ACOS( COS(R$413)  /   SQRT( 1 + ( TAN($A433))^2 )))</f>
        <v>102.952539642222</v>
      </c>
      <c r="S433" s="210" t="n">
        <f aca="false">DEGREES( ACOS( COS(S$413)  /   SQRT( 1 + ( TAN($A433))^2 )))</f>
        <v>100.5452905895</v>
      </c>
      <c r="T433" s="210" t="n">
        <f aca="false">DEGREES( ACOS( COS(T$413)  /   SQRT( 1 + ( TAN($A433))^2 )))</f>
        <v>97.4354722261319</v>
      </c>
      <c r="U433" s="210" t="n">
        <f aca="false">DEGREES( ACOS( COS(U$413)  /   SQRT( 1 + ( TAN($A433))^2 )))</f>
        <v>93.8409657162582</v>
      </c>
      <c r="V433" s="256" t="n">
        <f aca="false">DEGREES( ACOS( COS(V$413)  /   SQRT( 1 + ( TAN($A433))^2 )))</f>
        <v>90</v>
      </c>
      <c r="W433" s="210" t="n">
        <f aca="false">DEGREES( ACOS( COS(W$413)  /   SQRT( 1 + ( TAN($A433))^2 )))</f>
        <v>86.1590342837419</v>
      </c>
      <c r="X433" s="210" t="n">
        <f aca="false">DEGREES( ACOS( COS(X$413)  /   SQRT( 1 + ( TAN($A433))^2 )))</f>
        <v>82.5645277738682</v>
      </c>
      <c r="Y433" s="210" t="n">
        <f aca="false">DEGREES( ACOS( COS(Y$413)  /   SQRT( 1 + ( TAN($A433))^2 )))</f>
        <v>79.4547094105005</v>
      </c>
      <c r="Z433" s="210" t="n">
        <f aca="false">DEGREES( ACOS( COS(Z$413)  /   SQRT( 1 + ( TAN($A433))^2 )))</f>
        <v>77.0474603577776</v>
      </c>
      <c r="AA433" s="210" t="n">
        <f aca="false">DEGREES( ACOS( COS(AA$413)  /   SQRT( 1 + ( TAN($A433))^2 )))</f>
        <v>75.5224878140701</v>
      </c>
      <c r="AB433" s="256" t="n">
        <f aca="false">DEGREES( ACOS( COS(AB$413)  /   SQRT( 1 + ( TAN($A433))^2 )))</f>
        <v>75.0000002338298</v>
      </c>
      <c r="AC433" s="195" t="n">
        <f aca="false">DEGREES( ACOS( COS(AC$413)  /   SQRT( 1 + ( TAN($A433))^2 )  * SIGN( COS($A433))))</f>
        <v>75</v>
      </c>
      <c r="AD433" s="195" t="n">
        <f aca="false">DEGREES( ACOS( COS(AD$413)  /   SQRT( 1 + ( TAN($A433))^2 )  * SIGN( COS($A433))))</f>
        <v>75</v>
      </c>
      <c r="AE433" s="1"/>
      <c r="AF433" s="1"/>
      <c r="AG433" s="1"/>
      <c r="AH433" s="1"/>
      <c r="AI433" s="1"/>
      <c r="AJ433" s="1"/>
      <c r="AK433" s="1"/>
      <c r="AL433" s="1"/>
    </row>
    <row r="434" customFormat="false" ht="12.75" hidden="false" customHeight="true" outlineLevel="0" collapsed="false">
      <c r="A434" s="193" t="n">
        <f aca="false">RADIANS(MOD(B434-180,-360)+180)</f>
        <v>-1.0471975511966</v>
      </c>
      <c r="B434" s="182" t="n">
        <v>300</v>
      </c>
      <c r="C434" s="1"/>
      <c r="D434" s="256" t="n">
        <f aca="false">DEGREES( ACOS( COS(D$413)  /   SQRT( 1 + ( TAN($A434))^2 )))</f>
        <v>60.0000000050383</v>
      </c>
      <c r="E434" s="210" t="n">
        <f aca="false">DEGREES( ACOS( COS(E$413)  /   SQRT( 1 + ( TAN($A434))^2 )))</f>
        <v>61.1209059825724</v>
      </c>
      <c r="F434" s="210" t="n">
        <f aca="false">DEGREES( ACOS( COS(F$413)  /   SQRT( 1 + ( TAN($A434))^2 )))</f>
        <v>64.3410937267447</v>
      </c>
      <c r="G434" s="210" t="n">
        <f aca="false">DEGREES( ACOS( COS(G$413)  /   SQRT( 1 + ( TAN($A434))^2 )))</f>
        <v>69.2951889453646</v>
      </c>
      <c r="H434" s="210" t="n">
        <f aca="false">DEGREES( ACOS( COS(H$413)  /   SQRT( 1 + ( TAN($A434))^2 )))</f>
        <v>75.5224878140701</v>
      </c>
      <c r="I434" s="210" t="n">
        <f aca="false">DEGREES( ACOS( COS(I$413)  /   SQRT( 1 + ( TAN($A434))^2 )))</f>
        <v>82.5645277738682</v>
      </c>
      <c r="J434" s="256" t="n">
        <f aca="false">DEGREES( ACOS( COS(J$413)  /   SQRT( 1 + ( TAN($A434))^2 )))</f>
        <v>90</v>
      </c>
      <c r="K434" s="210" t="n">
        <f aca="false">DEGREES( ACOS( COS(K$413)  /   SQRT( 1 + ( TAN($A434))^2 )))</f>
        <v>97.4354722261319</v>
      </c>
      <c r="L434" s="210" t="n">
        <f aca="false">DEGREES( ACOS( COS(L$413)  /   SQRT( 1 + ( TAN($A434))^2 )))</f>
        <v>104.47751218593</v>
      </c>
      <c r="M434" s="210" t="n">
        <f aca="false">DEGREES( ACOS( COS(M$413)  /   SQRT( 1 + ( TAN($A434))^2 )))</f>
        <v>110.704811054635</v>
      </c>
      <c r="N434" s="210" t="n">
        <f aca="false">DEGREES( ACOS( COS(N$413)  /   SQRT( 1 + ( TAN($A434))^2 )))</f>
        <v>115.658906273255</v>
      </c>
      <c r="O434" s="210" t="n">
        <f aca="false">DEGREES( ACOS( COS(O$413)  /   SQRT( 1 + ( TAN($A434))^2 )))</f>
        <v>118.879094017428</v>
      </c>
      <c r="P434" s="256" t="n">
        <f aca="false">DEGREES( ACOS( COS(P$413)  /   SQRT( 1 + ( TAN($A434))^2 )))</f>
        <v>120</v>
      </c>
      <c r="Q434" s="210" t="n">
        <f aca="false">DEGREES( ACOS( COS(Q$413)  /   SQRT( 1 + ( TAN($A434))^2 )))</f>
        <v>118.879094017428</v>
      </c>
      <c r="R434" s="210" t="n">
        <f aca="false">DEGREES( ACOS( COS(R$413)  /   SQRT( 1 + ( TAN($A434))^2 )))</f>
        <v>115.658906273255</v>
      </c>
      <c r="S434" s="210" t="n">
        <f aca="false">DEGREES( ACOS( COS(S$413)  /   SQRT( 1 + ( TAN($A434))^2 )))</f>
        <v>110.704811054635</v>
      </c>
      <c r="T434" s="210" t="n">
        <f aca="false">DEGREES( ACOS( COS(T$413)  /   SQRT( 1 + ( TAN($A434))^2 )))</f>
        <v>104.47751218593</v>
      </c>
      <c r="U434" s="210" t="n">
        <f aca="false">DEGREES( ACOS( COS(U$413)  /   SQRT( 1 + ( TAN($A434))^2 )))</f>
        <v>97.4354722261319</v>
      </c>
      <c r="V434" s="256" t="n">
        <f aca="false">DEGREES( ACOS( COS(V$413)  /   SQRT( 1 + ( TAN($A434))^2 )))</f>
        <v>90</v>
      </c>
      <c r="W434" s="210" t="n">
        <f aca="false">DEGREES( ACOS( COS(W$413)  /   SQRT( 1 + ( TAN($A434))^2 )))</f>
        <v>82.5645277738682</v>
      </c>
      <c r="X434" s="210" t="n">
        <f aca="false">DEGREES( ACOS( COS(X$413)  /   SQRT( 1 + ( TAN($A434))^2 )))</f>
        <v>75.5224878140701</v>
      </c>
      <c r="Y434" s="210" t="n">
        <f aca="false">DEGREES( ACOS( COS(Y$413)  /   SQRT( 1 + ( TAN($A434))^2 )))</f>
        <v>69.2951889453646</v>
      </c>
      <c r="Z434" s="210" t="n">
        <f aca="false">DEGREES( ACOS( COS(Z$413)  /   SQRT( 1 + ( TAN($A434))^2 )))</f>
        <v>64.3410937267447</v>
      </c>
      <c r="AA434" s="210" t="n">
        <f aca="false">DEGREES( ACOS( COS(AA$413)  /   SQRT( 1 + ( TAN($A434))^2 )))</f>
        <v>61.1209059825724</v>
      </c>
      <c r="AB434" s="256" t="n">
        <f aca="false">DEGREES( ACOS( COS(AB$413)  /   SQRT( 1 + ( TAN($A434))^2 )))</f>
        <v>60.0000005038332</v>
      </c>
      <c r="AC434" s="195" t="n">
        <f aca="false">DEGREES( ACOS( COS(AC$413)  /   SQRT( 1 + ( TAN($A434))^2 )  * SIGN( COS($A434))))</f>
        <v>60</v>
      </c>
      <c r="AD434" s="195" t="n">
        <f aca="false">DEGREES( ACOS( COS(AD$413)  /   SQRT( 1 + ( TAN($A434))^2 )  * SIGN( COS($A434))))</f>
        <v>60</v>
      </c>
      <c r="AE434" s="1"/>
      <c r="AF434" s="1"/>
      <c r="AG434" s="1"/>
      <c r="AH434" s="1"/>
      <c r="AI434" s="1"/>
      <c r="AJ434" s="1"/>
      <c r="AK434" s="1"/>
      <c r="AL434" s="1"/>
    </row>
    <row r="435" customFormat="false" ht="12.75" hidden="false" customHeight="true" outlineLevel="0" collapsed="false">
      <c r="A435" s="193" t="n">
        <f aca="false">RADIANS(MOD(B435-180,-360)+180)</f>
        <v>-0.785398163397448</v>
      </c>
      <c r="B435" s="182" t="n">
        <v>315</v>
      </c>
      <c r="C435" s="1"/>
      <c r="D435" s="256" t="n">
        <f aca="false">DEGREES( ACOS( COS(D$413)  /   SQRT( 1 + ( TAN($A435))^2 )))</f>
        <v>45.0000000087267</v>
      </c>
      <c r="E435" s="210" t="n">
        <f aca="false">DEGREES( ACOS( COS(E$413)  /   SQRT( 1 + ( TAN($A435))^2 )))</f>
        <v>46.9204828581291</v>
      </c>
      <c r="F435" s="210" t="n">
        <f aca="false">DEGREES( ACOS( COS(F$413)  /   SQRT( 1 + ( TAN($A435))^2 )))</f>
        <v>52.238756092965</v>
      </c>
      <c r="G435" s="210" t="n">
        <f aca="false">DEGREES( ACOS( COS(G$413)  /   SQRT( 1 + ( TAN($A435))^2 )))</f>
        <v>60</v>
      </c>
      <c r="H435" s="210" t="n">
        <f aca="false">DEGREES( ACOS( COS(H$413)  /   SQRT( 1 + ( TAN($A435))^2 )))</f>
        <v>69.2951889453646</v>
      </c>
      <c r="I435" s="210" t="n">
        <f aca="false">DEGREES( ACOS( COS(I$413)  /   SQRT( 1 + ( TAN($A435))^2 )))</f>
        <v>79.4547094105004</v>
      </c>
      <c r="J435" s="256" t="n">
        <f aca="false">DEGREES( ACOS( COS(J$413)  /   SQRT( 1 + ( TAN($A435))^2 )))</f>
        <v>90</v>
      </c>
      <c r="K435" s="210" t="n">
        <f aca="false">DEGREES( ACOS( COS(K$413)  /   SQRT( 1 + ( TAN($A435))^2 )))</f>
        <v>100.5452905895</v>
      </c>
      <c r="L435" s="210" t="n">
        <f aca="false">DEGREES( ACOS( COS(L$413)  /   SQRT( 1 + ( TAN($A435))^2 )))</f>
        <v>110.704811054635</v>
      </c>
      <c r="M435" s="210" t="n">
        <f aca="false">DEGREES( ACOS( COS(M$413)  /   SQRT( 1 + ( TAN($A435))^2 )))</f>
        <v>120</v>
      </c>
      <c r="N435" s="210" t="n">
        <f aca="false">DEGREES( ACOS( COS(N$413)  /   SQRT( 1 + ( TAN($A435))^2 )))</f>
        <v>127.761243907035</v>
      </c>
      <c r="O435" s="210" t="n">
        <f aca="false">DEGREES( ACOS( COS(O$413)  /   SQRT( 1 + ( TAN($A435))^2 )))</f>
        <v>133.079517141871</v>
      </c>
      <c r="P435" s="256" t="n">
        <f aca="false">DEGREES( ACOS( COS(P$413)  /   SQRT( 1 + ( TAN($A435))^2 )))</f>
        <v>135</v>
      </c>
      <c r="Q435" s="210" t="n">
        <f aca="false">DEGREES( ACOS( COS(Q$413)  /   SQRT( 1 + ( TAN($A435))^2 )))</f>
        <v>133.079517141871</v>
      </c>
      <c r="R435" s="210" t="n">
        <f aca="false">DEGREES( ACOS( COS(R$413)  /   SQRT( 1 + ( TAN($A435))^2 )))</f>
        <v>127.761243907035</v>
      </c>
      <c r="S435" s="210" t="n">
        <f aca="false">DEGREES( ACOS( COS(S$413)  /   SQRT( 1 + ( TAN($A435))^2 )))</f>
        <v>120</v>
      </c>
      <c r="T435" s="210" t="n">
        <f aca="false">DEGREES( ACOS( COS(T$413)  /   SQRT( 1 + ( TAN($A435))^2 )))</f>
        <v>110.704811054635</v>
      </c>
      <c r="U435" s="210" t="n">
        <f aca="false">DEGREES( ACOS( COS(U$413)  /   SQRT( 1 + ( TAN($A435))^2 )))</f>
        <v>100.5452905895</v>
      </c>
      <c r="V435" s="256" t="n">
        <f aca="false">DEGREES( ACOS( COS(V$413)  /   SQRT( 1 + ( TAN($A435))^2 )))</f>
        <v>90</v>
      </c>
      <c r="W435" s="210" t="n">
        <f aca="false">DEGREES( ACOS( COS(W$413)  /   SQRT( 1 + ( TAN($A435))^2 )))</f>
        <v>79.4547094105004</v>
      </c>
      <c r="X435" s="210" t="n">
        <f aca="false">DEGREES( ACOS( COS(X$413)  /   SQRT( 1 + ( TAN($A435))^2 )))</f>
        <v>69.2951889453646</v>
      </c>
      <c r="Y435" s="210" t="n">
        <f aca="false">DEGREES( ACOS( COS(Y$413)  /   SQRT( 1 + ( TAN($A435))^2 )))</f>
        <v>60</v>
      </c>
      <c r="Z435" s="210" t="n">
        <f aca="false">DEGREES( ACOS( COS(Z$413)  /   SQRT( 1 + ( TAN($A435))^2 )))</f>
        <v>52.238756092965</v>
      </c>
      <c r="AA435" s="210" t="n">
        <f aca="false">DEGREES( ACOS( COS(AA$413)  /   SQRT( 1 + ( TAN($A435))^2 )))</f>
        <v>46.9204828581291</v>
      </c>
      <c r="AB435" s="256" t="n">
        <f aca="false">DEGREES( ACOS( COS(AB$413)  /   SQRT( 1 + ( TAN($A435))^2 )))</f>
        <v>45.0000008726646</v>
      </c>
      <c r="AC435" s="195" t="n">
        <f aca="false">DEGREES( ACOS( COS(AC$413)  /   SQRT( 1 + ( TAN($A435))^2 )  * SIGN( COS($A435))))</f>
        <v>45</v>
      </c>
      <c r="AD435" s="195" t="n">
        <f aca="false">DEGREES( ACOS( COS(AD$413)  /   SQRT( 1 + ( TAN($A435))^2 )  * SIGN( COS($A435))))</f>
        <v>45</v>
      </c>
      <c r="AE435" s="1"/>
      <c r="AF435" s="1"/>
      <c r="AG435" s="1"/>
      <c r="AH435" s="1"/>
      <c r="AI435" s="1"/>
      <c r="AJ435" s="1"/>
      <c r="AK435" s="1"/>
      <c r="AL435" s="1"/>
    </row>
    <row r="436" customFormat="false" ht="12.75" hidden="false" customHeight="true" outlineLevel="0" collapsed="false">
      <c r="A436" s="193" t="n">
        <f aca="false">RADIANS(MOD(B436-180,-360)+180)</f>
        <v>-0.523598775598299</v>
      </c>
      <c r="B436" s="182" t="n">
        <v>330</v>
      </c>
      <c r="C436" s="1"/>
      <c r="D436" s="256" t="n">
        <f aca="false">DEGREES( ACOS( COS(D$413)  /   SQRT( 1 + ( TAN($A436))^2 )))</f>
        <v>30.000000015115</v>
      </c>
      <c r="E436" s="210" t="n">
        <f aca="false">DEGREES( ACOS( COS(E$413)  /   SQRT( 1 + ( TAN($A436))^2 )))</f>
        <v>33.2259422032876</v>
      </c>
      <c r="F436" s="210" t="n">
        <f aca="false">DEGREES( ACOS( COS(F$413)  /   SQRT( 1 + ( TAN($A436))^2 )))</f>
        <v>41.4096221092709</v>
      </c>
      <c r="G436" s="210" t="n">
        <f aca="false">DEGREES( ACOS( COS(G$413)  /   SQRT( 1 + ( TAN($A436))^2 )))</f>
        <v>52.238756092965</v>
      </c>
      <c r="H436" s="210" t="n">
        <f aca="false">DEGREES( ACOS( COS(H$413)  /   SQRT( 1 + ( TAN($A436))^2 )))</f>
        <v>64.3410937267447</v>
      </c>
      <c r="I436" s="210" t="n">
        <f aca="false">DEGREES( ACOS( COS(I$413)  /   SQRT( 1 + ( TAN($A436))^2 )))</f>
        <v>77.0474603577776</v>
      </c>
      <c r="J436" s="256" t="n">
        <f aca="false">DEGREES( ACOS( COS(J$413)  /   SQRT( 1 + ( TAN($A436))^2 )))</f>
        <v>90</v>
      </c>
      <c r="K436" s="210" t="n">
        <f aca="false">DEGREES( ACOS( COS(K$413)  /   SQRT( 1 + ( TAN($A436))^2 )))</f>
        <v>102.952539642222</v>
      </c>
      <c r="L436" s="210" t="n">
        <f aca="false">DEGREES( ACOS( COS(L$413)  /   SQRT( 1 + ( TAN($A436))^2 )))</f>
        <v>115.658906273255</v>
      </c>
      <c r="M436" s="210" t="n">
        <f aca="false">DEGREES( ACOS( COS(M$413)  /   SQRT( 1 + ( TAN($A436))^2 )))</f>
        <v>127.761243907035</v>
      </c>
      <c r="N436" s="210" t="n">
        <f aca="false">DEGREES( ACOS( COS(N$413)  /   SQRT( 1 + ( TAN($A436))^2 )))</f>
        <v>138.590377890729</v>
      </c>
      <c r="O436" s="210" t="n">
        <f aca="false">DEGREES( ACOS( COS(O$413)  /   SQRT( 1 + ( TAN($A436))^2 )))</f>
        <v>146.774057796712</v>
      </c>
      <c r="P436" s="256" t="n">
        <f aca="false">DEGREES( ACOS( COS(P$413)  /   SQRT( 1 + ( TAN($A436))^2 )))</f>
        <v>150</v>
      </c>
      <c r="Q436" s="210" t="n">
        <f aca="false">DEGREES( ACOS( COS(Q$413)  /   SQRT( 1 + ( TAN($A436))^2 )))</f>
        <v>146.774057796712</v>
      </c>
      <c r="R436" s="210" t="n">
        <f aca="false">DEGREES( ACOS( COS(R$413)  /   SQRT( 1 + ( TAN($A436))^2 )))</f>
        <v>138.590377890729</v>
      </c>
      <c r="S436" s="210" t="n">
        <f aca="false">DEGREES( ACOS( COS(S$413)  /   SQRT( 1 + ( TAN($A436))^2 )))</f>
        <v>127.761243907035</v>
      </c>
      <c r="T436" s="210" t="n">
        <f aca="false">DEGREES( ACOS( COS(T$413)  /   SQRT( 1 + ( TAN($A436))^2 )))</f>
        <v>115.658906273255</v>
      </c>
      <c r="U436" s="210" t="n">
        <f aca="false">DEGREES( ACOS( COS(U$413)  /   SQRT( 1 + ( TAN($A436))^2 )))</f>
        <v>102.952539642222</v>
      </c>
      <c r="V436" s="256" t="n">
        <f aca="false">DEGREES( ACOS( COS(V$413)  /   SQRT( 1 + ( TAN($A436))^2 )))</f>
        <v>90</v>
      </c>
      <c r="W436" s="210" t="n">
        <f aca="false">DEGREES( ACOS( COS(W$413)  /   SQRT( 1 + ( TAN($A436))^2 )))</f>
        <v>77.0474603577776</v>
      </c>
      <c r="X436" s="210" t="n">
        <f aca="false">DEGREES( ACOS( COS(X$413)  /   SQRT( 1 + ( TAN($A436))^2 )))</f>
        <v>64.3410937267447</v>
      </c>
      <c r="Y436" s="210" t="n">
        <f aca="false">DEGREES( ACOS( COS(Y$413)  /   SQRT( 1 + ( TAN($A436))^2 )))</f>
        <v>52.238756092965</v>
      </c>
      <c r="Z436" s="210" t="n">
        <f aca="false">DEGREES( ACOS( COS(Z$413)  /   SQRT( 1 + ( TAN($A436))^2 )))</f>
        <v>41.4096221092709</v>
      </c>
      <c r="AA436" s="210" t="n">
        <f aca="false">DEGREES( ACOS( COS(AA$413)  /   SQRT( 1 + ( TAN($A436))^2 )))</f>
        <v>33.2259422032876</v>
      </c>
      <c r="AB436" s="256" t="n">
        <f aca="false">DEGREES( ACOS( COS(AB$413)  /   SQRT( 1 + ( TAN($A436))^2 )))</f>
        <v>30.0000015114994</v>
      </c>
      <c r="AC436" s="195" t="n">
        <f aca="false">DEGREES( ACOS( COS(AC$413)  /   SQRT( 1 + ( TAN($A436))^2 )  * SIGN( COS($A436))))</f>
        <v>30</v>
      </c>
      <c r="AD436" s="195" t="n">
        <f aca="false">DEGREES( ACOS( COS(AD$413)  /   SQRT( 1 + ( TAN($A436))^2 )  * SIGN( COS($A436))))</f>
        <v>30</v>
      </c>
      <c r="AE436" s="1"/>
      <c r="AF436" s="1"/>
      <c r="AG436" s="1"/>
      <c r="AH436" s="1"/>
      <c r="AI436" s="1"/>
      <c r="AJ436" s="1"/>
      <c r="AK436" s="1"/>
      <c r="AL436" s="1"/>
    </row>
    <row r="437" customFormat="false" ht="12.75" hidden="false" customHeight="true" outlineLevel="0" collapsed="false">
      <c r="A437" s="193" t="n">
        <f aca="false">RADIANS(MOD(B437-180,-360)+180)</f>
        <v>-0.261799387799149</v>
      </c>
      <c r="B437" s="182" t="n">
        <v>345</v>
      </c>
      <c r="C437" s="1"/>
      <c r="D437" s="256" t="n">
        <f aca="false">DEGREES( ACOS( COS(D$413)  /   SQRT( 1 + ( TAN($A437))^2 )))</f>
        <v>15.0000000325683</v>
      </c>
      <c r="E437" s="210" t="n">
        <f aca="false">DEGREES( ACOS( COS(E$413)  /   SQRT( 1 + ( TAN($A437))^2 )))</f>
        <v>21.0905811789991</v>
      </c>
      <c r="F437" s="210" t="n">
        <f aca="false">DEGREES( ACOS( COS(F$413)  /   SQRT( 1 + ( TAN($A437))^2 )))</f>
        <v>33.2259422032876</v>
      </c>
      <c r="G437" s="210" t="n">
        <f aca="false">DEGREES( ACOS( COS(G$413)  /   SQRT( 1 + ( TAN($A437))^2 )))</f>
        <v>46.9204828581291</v>
      </c>
      <c r="H437" s="210" t="n">
        <f aca="false">DEGREES( ACOS( COS(H$413)  /   SQRT( 1 + ( TAN($A437))^2 )))</f>
        <v>61.1209059825724</v>
      </c>
      <c r="I437" s="210" t="n">
        <f aca="false">DEGREES( ACOS( COS(I$413)  /   SQRT( 1 + ( TAN($A437))^2 )))</f>
        <v>75.5224878140701</v>
      </c>
      <c r="J437" s="256" t="n">
        <f aca="false">DEGREES( ACOS( COS(J$413)  /   SQRT( 1 + ( TAN($A437))^2 )))</f>
        <v>90</v>
      </c>
      <c r="K437" s="210" t="n">
        <f aca="false">DEGREES( ACOS( COS(K$413)  /   SQRT( 1 + ( TAN($A437))^2 )))</f>
        <v>104.47751218593</v>
      </c>
      <c r="L437" s="210" t="n">
        <f aca="false">DEGREES( ACOS( COS(L$413)  /   SQRT( 1 + ( TAN($A437))^2 )))</f>
        <v>118.879094017428</v>
      </c>
      <c r="M437" s="210" t="n">
        <f aca="false">DEGREES( ACOS( COS(M$413)  /   SQRT( 1 + ( TAN($A437))^2 )))</f>
        <v>133.079517141871</v>
      </c>
      <c r="N437" s="210" t="n">
        <f aca="false">DEGREES( ACOS( COS(N$413)  /   SQRT( 1 + ( TAN($A437))^2 )))</f>
        <v>146.774057796712</v>
      </c>
      <c r="O437" s="210" t="n">
        <f aca="false">DEGREES( ACOS( COS(O$413)  /   SQRT( 1 + ( TAN($A437))^2 )))</f>
        <v>158.909418821001</v>
      </c>
      <c r="P437" s="256" t="n">
        <f aca="false">DEGREES( ACOS( COS(P$413)  /   SQRT( 1 + ( TAN($A437))^2 )))</f>
        <v>165</v>
      </c>
      <c r="Q437" s="210" t="n">
        <f aca="false">DEGREES( ACOS( COS(Q$413)  /   SQRT( 1 + ( TAN($A437))^2 )))</f>
        <v>158.909418821001</v>
      </c>
      <c r="R437" s="210" t="n">
        <f aca="false">DEGREES( ACOS( COS(R$413)  /   SQRT( 1 + ( TAN($A437))^2 )))</f>
        <v>146.774057796712</v>
      </c>
      <c r="S437" s="210" t="n">
        <f aca="false">DEGREES( ACOS( COS(S$413)  /   SQRT( 1 + ( TAN($A437))^2 )))</f>
        <v>133.079517141871</v>
      </c>
      <c r="T437" s="210" t="n">
        <f aca="false">DEGREES( ACOS( COS(T$413)  /   SQRT( 1 + ( TAN($A437))^2 )))</f>
        <v>118.879094017428</v>
      </c>
      <c r="U437" s="210" t="n">
        <f aca="false">DEGREES( ACOS( COS(U$413)  /   SQRT( 1 + ( TAN($A437))^2 )))</f>
        <v>104.47751218593</v>
      </c>
      <c r="V437" s="256" t="n">
        <f aca="false">DEGREES( ACOS( COS(V$413)  /   SQRT( 1 + ( TAN($A437))^2 )))</f>
        <v>90</v>
      </c>
      <c r="W437" s="210" t="n">
        <f aca="false">DEGREES( ACOS( COS(W$413)  /   SQRT( 1 + ( TAN($A437))^2 )))</f>
        <v>75.5224878140701</v>
      </c>
      <c r="X437" s="210" t="n">
        <f aca="false">DEGREES( ACOS( COS(X$413)  /   SQRT( 1 + ( TAN($A437))^2 )))</f>
        <v>61.1209059825724</v>
      </c>
      <c r="Y437" s="210" t="n">
        <f aca="false">DEGREES( ACOS( COS(Y$413)  /   SQRT( 1 + ( TAN($A437))^2 )))</f>
        <v>46.9204828581291</v>
      </c>
      <c r="Z437" s="210" t="n">
        <f aca="false">DEGREES( ACOS( COS(Z$413)  /   SQRT( 1 + ( TAN($A437))^2 )))</f>
        <v>33.2259422032876</v>
      </c>
      <c r="AA437" s="210" t="n">
        <f aca="false">DEGREES( ACOS( COS(AA$413)  /   SQRT( 1 + ( TAN($A437))^2 )))</f>
        <v>21.0905811789991</v>
      </c>
      <c r="AB437" s="256" t="n">
        <f aca="false">DEGREES( ACOS( COS(AB$413)  /   SQRT( 1 + ( TAN($A437))^2 )))</f>
        <v>15.0000032568283</v>
      </c>
      <c r="AC437" s="195" t="n">
        <f aca="false">DEGREES( ACOS( COS(AC$413)  /   SQRT( 1 + ( TAN($A437))^2 )  * SIGN( COS($A437))))</f>
        <v>15</v>
      </c>
      <c r="AD437" s="195" t="n">
        <f aca="false">DEGREES( ACOS( COS(AD$413)  /   SQRT( 1 + ( TAN($A437))^2 )  * SIGN( COS($A437))))</f>
        <v>15</v>
      </c>
      <c r="AE437" s="1"/>
      <c r="AF437" s="1"/>
      <c r="AG437" s="1"/>
      <c r="AH437" s="1"/>
      <c r="AI437" s="1"/>
      <c r="AJ437" s="1"/>
      <c r="AK437" s="1"/>
      <c r="AL437" s="1"/>
    </row>
    <row r="438" customFormat="false" ht="12.75" hidden="false" customHeight="true" outlineLevel="0" collapsed="false">
      <c r="A438" s="193" t="n">
        <f aca="false">RADIANS(MOD(B438-180,-360)+180)</f>
        <v>-0.000174532925199274</v>
      </c>
      <c r="B438" s="198" t="n">
        <v>359.99</v>
      </c>
      <c r="C438" s="1"/>
      <c r="D438" s="256" t="n">
        <f aca="false">DEGREES( ACOS( COS(D$413)  /   SQRT( 1 + ( TAN($A438))^2 )))</f>
        <v>0.01004987564407</v>
      </c>
      <c r="E438" s="256" t="n">
        <f aca="false">DEGREES( ACOS( COS(E$413)  /   SQRT( 1 + ( TAN($A438))^2 )))</f>
        <v>15.0000032568284</v>
      </c>
      <c r="F438" s="256" t="n">
        <f aca="false">DEGREES( ACOS( COS(F$413)  /   SQRT( 1 + ( TAN($A438))^2 )))</f>
        <v>30.0000015114994</v>
      </c>
      <c r="G438" s="256" t="n">
        <f aca="false">DEGREES( ACOS( COS(G$413)  /   SQRT( 1 + ( TAN($A438))^2 )))</f>
        <v>45.0000008726646</v>
      </c>
      <c r="H438" s="256" t="n">
        <f aca="false">DEGREES( ACOS( COS(H$413)  /   SQRT( 1 + ( TAN($A438))^2 )))</f>
        <v>60.0000005038332</v>
      </c>
      <c r="I438" s="256" t="n">
        <f aca="false">DEGREES( ACOS( COS(I$413)  /   SQRT( 1 + ( TAN($A438))^2 )))</f>
        <v>75.0000002338298</v>
      </c>
      <c r="J438" s="256" t="n">
        <f aca="false">DEGREES( ACOS( COS(J$413)  /   SQRT( 1 + ( TAN($A438))^2 )))</f>
        <v>90</v>
      </c>
      <c r="K438" s="256" t="n">
        <f aca="false">DEGREES( ACOS( COS(K$413)  /   SQRT( 1 + ( TAN($A438))^2 )))</f>
        <v>104.99999976617</v>
      </c>
      <c r="L438" s="256" t="n">
        <f aca="false">DEGREES( ACOS( COS(L$413)  /   SQRT( 1 + ( TAN($A438))^2 )))</f>
        <v>119.999999496167</v>
      </c>
      <c r="M438" s="256" t="n">
        <f aca="false">DEGREES( ACOS( COS(M$413)  /   SQRT( 1 + ( TAN($A438))^2 )))</f>
        <v>134.999999127335</v>
      </c>
      <c r="N438" s="256" t="n">
        <f aca="false">DEGREES( ACOS( COS(N$413)  /   SQRT( 1 + ( TAN($A438))^2 )))</f>
        <v>149.999998488501</v>
      </c>
      <c r="O438" s="256" t="n">
        <f aca="false">DEGREES( ACOS( COS(O$413)  /   SQRT( 1 + ( TAN($A438))^2 )))</f>
        <v>164.999996743172</v>
      </c>
      <c r="P438" s="256" t="n">
        <f aca="false">DEGREES( ACOS( COS(P$413)  /   SQRT( 1 + ( TAN($A438))^2 )))</f>
        <v>179.989999999981</v>
      </c>
      <c r="Q438" s="256" t="n">
        <f aca="false">DEGREES( ACOS( COS(Q$413)  /   SQRT( 1 + ( TAN($A438))^2 )))</f>
        <v>164.999996743172</v>
      </c>
      <c r="R438" s="256" t="n">
        <f aca="false">DEGREES( ACOS( COS(R$413)  /   SQRT( 1 + ( TAN($A438))^2 )))</f>
        <v>149.999998488501</v>
      </c>
      <c r="S438" s="256" t="n">
        <f aca="false">DEGREES( ACOS( COS(S$413)  /   SQRT( 1 + ( TAN($A438))^2 )))</f>
        <v>134.999999127335</v>
      </c>
      <c r="T438" s="256" t="n">
        <f aca="false">DEGREES( ACOS( COS(T$413)  /   SQRT( 1 + ( TAN($A438))^2 )))</f>
        <v>119.999999496167</v>
      </c>
      <c r="U438" s="256" t="n">
        <f aca="false">DEGREES( ACOS( COS(U$413)  /   SQRT( 1 + ( TAN($A438))^2 )))</f>
        <v>104.99999976617</v>
      </c>
      <c r="V438" s="256" t="n">
        <f aca="false">DEGREES( ACOS( COS(V$413)  /   SQRT( 1 + ( TAN($A438))^2 )))</f>
        <v>90</v>
      </c>
      <c r="W438" s="256" t="n">
        <f aca="false">DEGREES( ACOS( COS(W$413)  /   SQRT( 1 + ( TAN($A438))^2 )))</f>
        <v>75.0000002338298</v>
      </c>
      <c r="X438" s="256" t="n">
        <f aca="false">DEGREES( ACOS( COS(X$413)  /   SQRT( 1 + ( TAN($A438))^2 )))</f>
        <v>60.0000005038332</v>
      </c>
      <c r="Y438" s="256" t="n">
        <f aca="false">DEGREES( ACOS( COS(Y$413)  /   SQRT( 1 + ( TAN($A438))^2 )))</f>
        <v>45.0000008726646</v>
      </c>
      <c r="Z438" s="256" t="n">
        <f aca="false">DEGREES( ACOS( COS(Z$413)  /   SQRT( 1 + ( TAN($A438))^2 )))</f>
        <v>30.0000015114994</v>
      </c>
      <c r="AA438" s="256" t="n">
        <f aca="false">DEGREES( ACOS( COS(AA$413)  /   SQRT( 1 + ( TAN($A438))^2 )))</f>
        <v>15.0000032568284</v>
      </c>
      <c r="AB438" s="256" t="n">
        <f aca="false">DEGREES( ACOS( COS(AB$413)  /   SQRT( 1 + ( TAN($A438))^2 )))</f>
        <v>0.0141421355913772</v>
      </c>
      <c r="AC438" s="195" t="n">
        <f aca="false">DEGREES( ACOS( COS(AC$413)  /   SQRT( 1 + ( TAN($A438))^2 )  * SIGN( COS($A438))))</f>
        <v>0.0100000000190997</v>
      </c>
      <c r="AD438" s="195" t="n">
        <f aca="false">DEGREES( ACOS( COS(AD$413)  /   SQRT( 1 + ( TAN($A438))^2 )  * SIGN( COS($A438))))</f>
        <v>0.0100000000190997</v>
      </c>
      <c r="AE438" s="1"/>
      <c r="AF438" s="1"/>
      <c r="AG438" s="1"/>
      <c r="AH438" s="1"/>
      <c r="AI438" s="1"/>
      <c r="AJ438" s="1"/>
      <c r="AK438" s="1"/>
      <c r="AL438" s="1"/>
    </row>
    <row r="439" customFormat="false" ht="12.75" hidden="false" customHeight="true" outlineLevel="0" collapsed="false">
      <c r="A439" s="192" t="n">
        <f aca="false">RADIANS(MOD(B439-180,-360)+180)</f>
        <v>0</v>
      </c>
      <c r="B439" s="184" t="n">
        <v>360</v>
      </c>
      <c r="C439" s="1"/>
      <c r="D439" s="195" t="n">
        <f aca="false">DEGREES( ACOS( COS(D$413)  /   SQRT( 1 + ( TAN($A439))^2 )  * SIGN( COS($A439))))</f>
        <v>0.0010000000370999</v>
      </c>
      <c r="E439" s="195" t="n">
        <f aca="false">DEGREES( ACOS( COS(E$413)  /   SQRT( 1 + ( TAN($A439))^2 )  * SIGN( COS($A439))))</f>
        <v>15</v>
      </c>
      <c r="F439" s="195" t="n">
        <f aca="false">DEGREES( ACOS( COS(F$413)  /   SQRT( 1 + ( TAN($A439))^2 )  * SIGN( COS($A439))))</f>
        <v>30</v>
      </c>
      <c r="G439" s="195" t="n">
        <f aca="false">DEGREES( ACOS( COS(G$413)  /   SQRT( 1 + ( TAN($A439))^2 )  * SIGN( COS($A439))))</f>
        <v>45</v>
      </c>
      <c r="H439" s="195" t="n">
        <f aca="false">DEGREES( ACOS( COS(H$413)  /   SQRT( 1 + ( TAN($A439))^2 )  * SIGN( COS($A439))))</f>
        <v>60</v>
      </c>
      <c r="I439" s="195" t="n">
        <f aca="false">DEGREES( ACOS( COS(I$413)  /   SQRT( 1 + ( TAN($A439))^2 )  * SIGN( COS($A439))))</f>
        <v>75</v>
      </c>
      <c r="J439" s="195" t="n">
        <f aca="false">DEGREES( ACOS( COS(J$413)  /   SQRT( 1 + ( TAN($A439))^2 )  * SIGN( COS($A439))))</f>
        <v>90</v>
      </c>
      <c r="K439" s="195" t="n">
        <f aca="false">DEGREES( ACOS( COS(K$413)  /   SQRT( 1 + ( TAN($A439))^2 )  * SIGN( COS($A439))))</f>
        <v>105</v>
      </c>
      <c r="L439" s="195" t="n">
        <f aca="false">DEGREES( ACOS( COS(L$413)  /   SQRT( 1 + ( TAN($A439))^2 )  * SIGN( COS($A439))))</f>
        <v>120</v>
      </c>
      <c r="M439" s="195" t="n">
        <f aca="false">DEGREES( ACOS( COS(M$413)  /   SQRT( 1 + ( TAN($A439))^2 )  * SIGN( COS($A439))))</f>
        <v>135</v>
      </c>
      <c r="N439" s="195" t="n">
        <f aca="false">DEGREES( ACOS( COS(N$413)  /   SQRT( 1 + ( TAN($A439))^2 )  * SIGN( COS($A439))))</f>
        <v>150</v>
      </c>
      <c r="O439" s="195" t="n">
        <f aca="false">DEGREES( ACOS( COS(O$413)  /   SQRT( 1 + ( TAN($A439))^2 )  * SIGN( COS($A439))))</f>
        <v>165</v>
      </c>
      <c r="P439" s="195" t="n">
        <f aca="false">DEGREES( ACOS( COS(P$413)  /   SQRT( 1 + ( TAN($A439))^2 )  * SIGN( COS($A439))))</f>
        <v>180</v>
      </c>
      <c r="Q439" s="195" t="n">
        <f aca="false">DEGREES( ACOS( COS(Q$413)  /   SQRT( 1 + ( TAN($A439))^2 )  * SIGN( COS($A439))))</f>
        <v>165</v>
      </c>
      <c r="R439" s="195" t="n">
        <f aca="false">DEGREES( ACOS( COS(R$413)  /   SQRT( 1 + ( TAN($A439))^2 )  * SIGN( COS($A439))))</f>
        <v>150</v>
      </c>
      <c r="S439" s="195" t="n">
        <f aca="false">DEGREES( ACOS( COS(S$413)  /   SQRT( 1 + ( TAN($A439))^2 )  * SIGN( COS($A439))))</f>
        <v>135</v>
      </c>
      <c r="T439" s="195" t="n">
        <f aca="false">DEGREES( ACOS( COS(T$413)  /   SQRT( 1 + ( TAN($A439))^2 )  * SIGN( COS($A439))))</f>
        <v>120</v>
      </c>
      <c r="U439" s="195" t="n">
        <f aca="false">DEGREES( ACOS( COS(U$413)  /   SQRT( 1 + ( TAN($A439))^2 )  * SIGN( COS($A439))))</f>
        <v>105</v>
      </c>
      <c r="V439" s="195" t="n">
        <f aca="false">DEGREES( ACOS( COS(V$413)  /   SQRT( 1 + ( TAN($A439))^2 )  * SIGN( COS($A439))))</f>
        <v>90</v>
      </c>
      <c r="W439" s="195" t="n">
        <f aca="false">DEGREES( ACOS( COS(W$413)  /   SQRT( 1 + ( TAN($A439))^2 )  * SIGN( COS($A439))))</f>
        <v>75</v>
      </c>
      <c r="X439" s="195" t="n">
        <f aca="false">DEGREES( ACOS( COS(X$413)  /   SQRT( 1 + ( TAN($A439))^2 )  * SIGN( COS($A439))))</f>
        <v>60</v>
      </c>
      <c r="Y439" s="195" t="n">
        <f aca="false">DEGREES( ACOS( COS(Y$413)  /   SQRT( 1 + ( TAN($A439))^2 )  * SIGN( COS($A439))))</f>
        <v>45</v>
      </c>
      <c r="Z439" s="195" t="n">
        <f aca="false">DEGREES( ACOS( COS(Z$413)  /   SQRT( 1 + ( TAN($A439))^2 )  * SIGN( COS($A439))))</f>
        <v>30</v>
      </c>
      <c r="AA439" s="195" t="n">
        <f aca="false">DEGREES( ACOS( COS(AA$413)  /   SQRT( 1 + ( TAN($A439))^2 )  * SIGN( COS($A439))))</f>
        <v>15</v>
      </c>
      <c r="AB439" s="195" t="n">
        <f aca="false">DEGREES( ACOS( COS(AB$413)  /   SQRT( 1 + ( TAN($A439))^2 )  * SIGN( COS($A439))))</f>
        <v>0.00999999998265327</v>
      </c>
      <c r="AC439" s="195" t="n">
        <f aca="false">DEGREES( ACOS( COS(AC$413)  /   SQRT( 1 + ( TAN($A439))^2 )  * SIGN( COS($A439))))</f>
        <v>0</v>
      </c>
      <c r="AD439" s="195" t="n">
        <f aca="false">DEGREES( ACOS( COS(AD$413)  /   SQRT( 1 + ( TAN($A439))^2 )  * SIGN( COS($A439))))</f>
        <v>0</v>
      </c>
      <c r="AE439" s="1"/>
      <c r="AF439" s="1"/>
      <c r="AG439" s="1"/>
      <c r="AH439" s="1"/>
      <c r="AI439" s="1"/>
      <c r="AJ439" s="1"/>
      <c r="AK439" s="1"/>
      <c r="AL439" s="1"/>
    </row>
    <row r="440" customFormat="false" ht="12.75" hidden="false" customHeight="true" outlineLevel="0" collapsed="false">
      <c r="A440" s="192" t="n">
        <f aca="false">RADIANS(MOD(B440-180,-360)+180)</f>
        <v>0</v>
      </c>
      <c r="B440" s="184" t="n">
        <v>0</v>
      </c>
      <c r="C440" s="1"/>
      <c r="D440" s="195" t="n">
        <f aca="false">DEGREES( ACOS( COS(D$413)  /   SQRT( 1 + ( TAN($A440))^2 )  * SIGN( COS($A440))))</f>
        <v>0.0010000000370999</v>
      </c>
      <c r="E440" s="195" t="n">
        <f aca="false">DEGREES( ACOS( COS(E$413)  /   SQRT( 1 + ( TAN($A440))^2 )  * SIGN( COS($A440))))</f>
        <v>15</v>
      </c>
      <c r="F440" s="195" t="n">
        <f aca="false">DEGREES( ACOS( COS(F$413)  /   SQRT( 1 + ( TAN($A440))^2 )  * SIGN( COS($A440))))</f>
        <v>30</v>
      </c>
      <c r="G440" s="195" t="n">
        <f aca="false">DEGREES( ACOS( COS(G$413)  /   SQRT( 1 + ( TAN($A440))^2 )  * SIGN( COS($A440))))</f>
        <v>45</v>
      </c>
      <c r="H440" s="195" t="n">
        <f aca="false">DEGREES( ACOS( COS(H$413)  /   SQRT( 1 + ( TAN($A440))^2 )  * SIGN( COS($A440))))</f>
        <v>60</v>
      </c>
      <c r="I440" s="195" t="n">
        <f aca="false">DEGREES( ACOS( COS(I$413)  /   SQRT( 1 + ( TAN($A440))^2 )  * SIGN( COS($A440))))</f>
        <v>75</v>
      </c>
      <c r="J440" s="195" t="n">
        <f aca="false">DEGREES( ACOS( COS(J$413)  /   SQRT( 1 + ( TAN($A440))^2 )  * SIGN( COS($A440))))</f>
        <v>90</v>
      </c>
      <c r="K440" s="195" t="n">
        <f aca="false">DEGREES( ACOS( COS(K$413)  /   SQRT( 1 + ( TAN($A440))^2 )  * SIGN( COS($A440))))</f>
        <v>105</v>
      </c>
      <c r="L440" s="195" t="n">
        <f aca="false">DEGREES( ACOS( COS(L$413)  /   SQRT( 1 + ( TAN($A440))^2 )  * SIGN( COS($A440))))</f>
        <v>120</v>
      </c>
      <c r="M440" s="195" t="n">
        <f aca="false">DEGREES( ACOS( COS(M$413)  /   SQRT( 1 + ( TAN($A440))^2 )  * SIGN( COS($A440))))</f>
        <v>135</v>
      </c>
      <c r="N440" s="195" t="n">
        <f aca="false">DEGREES( ACOS( COS(N$413)  /   SQRT( 1 + ( TAN($A440))^2 )  * SIGN( COS($A440))))</f>
        <v>150</v>
      </c>
      <c r="O440" s="195" t="n">
        <f aca="false">DEGREES( ACOS( COS(O$413)  /   SQRT( 1 + ( TAN($A440))^2 )  * SIGN( COS($A440))))</f>
        <v>165</v>
      </c>
      <c r="P440" s="195" t="n">
        <f aca="false">DEGREES( ACOS( COS(P$413)  /   SQRT( 1 + ( TAN($A440))^2 )  * SIGN( COS($A440))))</f>
        <v>180</v>
      </c>
      <c r="Q440" s="195" t="n">
        <f aca="false">DEGREES( ACOS( COS(Q$413)  /   SQRT( 1 + ( TAN($A440))^2 )  * SIGN( COS($A440))))</f>
        <v>165</v>
      </c>
      <c r="R440" s="195" t="n">
        <f aca="false">DEGREES( ACOS( COS(R$413)  /   SQRT( 1 + ( TAN($A440))^2 )  * SIGN( COS($A440))))</f>
        <v>150</v>
      </c>
      <c r="S440" s="195" t="n">
        <f aca="false">DEGREES( ACOS( COS(S$413)  /   SQRT( 1 + ( TAN($A440))^2 )  * SIGN( COS($A440))))</f>
        <v>135</v>
      </c>
      <c r="T440" s="195" t="n">
        <f aca="false">DEGREES( ACOS( COS(T$413)  /   SQRT( 1 + ( TAN($A440))^2 )  * SIGN( COS($A440))))</f>
        <v>120</v>
      </c>
      <c r="U440" s="195" t="n">
        <f aca="false">DEGREES( ACOS( COS(U$413)  /   SQRT( 1 + ( TAN($A440))^2 )  * SIGN( COS($A440))))</f>
        <v>105</v>
      </c>
      <c r="V440" s="195" t="n">
        <f aca="false">DEGREES( ACOS( COS(V$413)  /   SQRT( 1 + ( TAN($A440))^2 )  * SIGN( COS($A440))))</f>
        <v>90</v>
      </c>
      <c r="W440" s="195" t="n">
        <f aca="false">DEGREES( ACOS( COS(W$413)  /   SQRT( 1 + ( TAN($A440))^2 )  * SIGN( COS($A440))))</f>
        <v>75</v>
      </c>
      <c r="X440" s="195" t="n">
        <f aca="false">DEGREES( ACOS( COS(X$413)  /   SQRT( 1 + ( TAN($A440))^2 )  * SIGN( COS($A440))))</f>
        <v>60</v>
      </c>
      <c r="Y440" s="195" t="n">
        <f aca="false">DEGREES( ACOS( COS(Y$413)  /   SQRT( 1 + ( TAN($A440))^2 )  * SIGN( COS($A440))))</f>
        <v>45</v>
      </c>
      <c r="Z440" s="195" t="n">
        <f aca="false">DEGREES( ACOS( COS(Z$413)  /   SQRT( 1 + ( TAN($A440))^2 )  * SIGN( COS($A440))))</f>
        <v>30</v>
      </c>
      <c r="AA440" s="195" t="n">
        <f aca="false">DEGREES( ACOS( COS(AA$413)  /   SQRT( 1 + ( TAN($A440))^2 )  * SIGN( COS($A440))))</f>
        <v>15</v>
      </c>
      <c r="AB440" s="195" t="n">
        <f aca="false">DEGREES( ACOS( COS(AB$413)  /   SQRT( 1 + ( TAN($A440))^2 )  * SIGN( COS($A440))))</f>
        <v>0.00999999998265327</v>
      </c>
      <c r="AC440" s="195" t="n">
        <f aca="false">DEGREES( ACOS( COS(AC$413)  /   SQRT( 1 + ( TAN($A440))^2 )  * SIGN( COS($A440))))</f>
        <v>0</v>
      </c>
      <c r="AD440" s="195" t="n">
        <f aca="false">DEGREES( ACOS( COS(AD$413)  /   SQRT( 1 + ( TAN($A440))^2 )  * SIGN( COS($A440))))</f>
        <v>0</v>
      </c>
      <c r="AE440" s="1"/>
      <c r="AF440" s="1"/>
      <c r="AG440" s="1"/>
      <c r="AH440" s="1"/>
      <c r="AI440" s="1"/>
      <c r="AJ440" s="1"/>
      <c r="AK440" s="1"/>
      <c r="AL440" s="1"/>
    </row>
    <row r="441" customFormat="false" ht="12.75" hidden="false" customHeight="true" outlineLevel="0" collapsed="false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customFormat="false" ht="12.75" hidden="false" customHeight="true" outlineLevel="0" collapsed="false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customFormat="false" ht="12.75" hidden="false" customHeight="true" outlineLevel="0" collapsed="false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customFormat="false" ht="12.75" hidden="false" customHeight="true" outlineLevel="0" collapsed="false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customFormat="false" ht="12.75" hidden="false" customHeight="true" outlineLevel="0" collapsed="false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customFormat="false" ht="12.75" hidden="false" customHeight="true" outlineLevel="0" collapsed="false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customFormat="false" ht="12.75" hidden="false" customHeight="true" outlineLevel="0" collapsed="false">
      <c r="A447" s="1"/>
      <c r="B447" s="1"/>
      <c r="C447" s="1"/>
      <c r="D447" s="1"/>
      <c r="E447" s="1"/>
      <c r="F447" s="1"/>
      <c r="G447" s="1"/>
      <c r="H447" s="117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customFormat="false" ht="12.75" hidden="false" customHeight="true" outlineLevel="0" collapsed="false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customFormat="false" ht="12.75" hidden="false" customHeight="true" outlineLevel="0" collapsed="false">
      <c r="A449" s="1"/>
      <c r="B449" s="1"/>
      <c r="C449" s="1"/>
      <c r="D449" s="1"/>
      <c r="E449" s="1"/>
      <c r="F449" s="1"/>
      <c r="G449" s="224"/>
      <c r="H449" s="1"/>
      <c r="I449" s="117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customFormat="false" ht="12.75" hidden="false" customHeight="true" outlineLevel="0" collapsed="false">
      <c r="A450" s="1"/>
      <c r="B450" s="1"/>
      <c r="C450" s="1"/>
      <c r="D450" s="1"/>
      <c r="E450" s="1"/>
      <c r="F450" s="1"/>
      <c r="G450" s="224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customFormat="false" ht="12.75" hidden="false" customHeight="true" outlineLevel="0" collapsed="false">
      <c r="A451" s="1"/>
      <c r="B451" s="1"/>
      <c r="C451" s="1"/>
      <c r="D451" s="1"/>
      <c r="E451" s="1"/>
      <c r="F451" s="1"/>
      <c r="G451" s="1"/>
      <c r="H451" s="53"/>
      <c r="I451" s="53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customFormat="false" ht="12.75" hidden="false" customHeight="true" outlineLevel="0" collapsed="false">
      <c r="A452" s="163"/>
      <c r="B452" s="1"/>
      <c r="C452" s="1"/>
      <c r="D452" s="1"/>
      <c r="E452" s="1"/>
      <c r="F452" s="1"/>
      <c r="G452" s="1"/>
      <c r="H452" s="1"/>
      <c r="I452" s="53"/>
      <c r="J452" s="1"/>
      <c r="K452" s="1"/>
      <c r="L452" s="1"/>
      <c r="M452" s="1"/>
      <c r="N452" s="53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customFormat="false" ht="12.75" hidden="false" customHeight="true" outlineLevel="0" collapsed="false">
      <c r="A453" s="1"/>
      <c r="B453" s="1"/>
      <c r="C453" s="1"/>
      <c r="D453" s="1"/>
      <c r="E453" s="1"/>
      <c r="F453" s="1"/>
      <c r="G453" s="164"/>
      <c r="H453" s="1"/>
      <c r="I453" s="53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customFormat="false" ht="23.8" hidden="false" customHeight="true" outlineLevel="0" collapsed="false">
      <c r="A454" s="1"/>
      <c r="B454" s="1"/>
      <c r="C454" s="257" t="s">
        <v>264</v>
      </c>
      <c r="D454" s="258"/>
      <c r="E454" s="169"/>
      <c r="F454" s="1"/>
      <c r="G454" s="1"/>
      <c r="H454" s="1"/>
      <c r="I454" s="53"/>
      <c r="J454" s="117"/>
      <c r="K454" s="16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customFormat="false" ht="23.8" hidden="false" customHeight="true" outlineLevel="0" collapsed="false">
      <c r="A455" s="1"/>
      <c r="B455" s="1"/>
      <c r="C455" s="170"/>
      <c r="D455" s="174"/>
      <c r="E455" s="171"/>
      <c r="F455" s="171"/>
      <c r="G455" s="171"/>
      <c r="H455" s="171"/>
      <c r="I455" s="171"/>
      <c r="J455" s="171"/>
      <c r="K455" s="171"/>
      <c r="L455" s="170"/>
      <c r="M455" s="1"/>
      <c r="N455" s="1"/>
      <c r="O455" s="1"/>
      <c r="P455" s="1"/>
      <c r="Q455" s="166" t="s">
        <v>251</v>
      </c>
      <c r="R455" s="167"/>
      <c r="S455" s="169"/>
      <c r="T455" s="237" t="s">
        <v>252</v>
      </c>
      <c r="U455" s="1"/>
      <c r="V455" s="1"/>
      <c r="W455" s="1"/>
      <c r="X455" s="1"/>
      <c r="Y455" s="1"/>
      <c r="Z455" s="201" t="s">
        <v>165</v>
      </c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customFormat="false" ht="23.8" hidden="false" customHeight="true" outlineLevel="0" collapsed="false">
      <c r="A456" s="172" t="s">
        <v>163</v>
      </c>
      <c r="B456" s="1"/>
      <c r="C456" s="173"/>
      <c r="D456" s="174" t="s">
        <v>164</v>
      </c>
      <c r="E456" s="171"/>
      <c r="F456" s="170"/>
      <c r="G456" s="171"/>
      <c r="H456" s="175" t="s">
        <v>119</v>
      </c>
      <c r="I456" s="170"/>
      <c r="J456" s="170"/>
      <c r="K456" s="170"/>
      <c r="L456" s="170"/>
      <c r="M456" s="1"/>
      <c r="N456" s="1"/>
      <c r="O456" s="1"/>
      <c r="P456" s="1"/>
      <c r="Q456" s="238" t="s">
        <v>165</v>
      </c>
      <c r="R456" s="170"/>
      <c r="S456" s="239"/>
      <c r="T456" s="170"/>
      <c r="U456" s="170"/>
      <c r="V456" s="1"/>
      <c r="W456" s="1"/>
      <c r="X456" s="1"/>
      <c r="Y456" s="1"/>
      <c r="Z456" s="1"/>
      <c r="AA456" s="1"/>
      <c r="AB456" s="1"/>
      <c r="AC456" s="1"/>
      <c r="AD456" s="1"/>
      <c r="AE456" s="240" t="s">
        <v>165</v>
      </c>
      <c r="AF456" s="170"/>
      <c r="AG456" s="241"/>
      <c r="AH456" s="259"/>
      <c r="AI456" s="170"/>
      <c r="AJ456" s="170"/>
      <c r="AK456" s="170"/>
      <c r="AL456" s="170"/>
    </row>
    <row r="457" customFormat="false" ht="23.8" hidden="false" customHeight="true" outlineLevel="0" collapsed="false">
      <c r="A457" s="172" t="s">
        <v>166</v>
      </c>
      <c r="B457" s="1"/>
      <c r="C457" s="173"/>
      <c r="D457" s="177"/>
      <c r="E457" s="171"/>
      <c r="F457" s="170"/>
      <c r="G457" s="170"/>
      <c r="H457" s="170"/>
      <c r="I457" s="170"/>
      <c r="J457" s="170"/>
      <c r="K457" s="170"/>
      <c r="L457" s="170"/>
      <c r="M457" s="1"/>
      <c r="N457" s="1"/>
      <c r="O457" s="1"/>
      <c r="P457" s="1"/>
      <c r="Q457" s="242"/>
      <c r="R457" s="243" t="s">
        <v>255</v>
      </c>
      <c r="S457" s="170"/>
      <c r="T457" s="170"/>
      <c r="U457" s="170"/>
      <c r="V457" s="1"/>
      <c r="W457" s="1"/>
      <c r="X457" s="1"/>
      <c r="Y457" s="1"/>
      <c r="Z457" s="1"/>
      <c r="AA457" s="1"/>
      <c r="AB457" s="1"/>
      <c r="AC457" s="1"/>
      <c r="AD457" s="1"/>
      <c r="AE457" s="244" t="s">
        <v>265</v>
      </c>
      <c r="AF457" s="244"/>
      <c r="AG457" s="170"/>
      <c r="AH457" s="170"/>
      <c r="AI457" s="170"/>
      <c r="AJ457" s="170"/>
      <c r="AK457" s="170"/>
      <c r="AL457" s="170"/>
    </row>
    <row r="458" customFormat="false" ht="23.8" hidden="false" customHeight="true" outlineLevel="0" collapsed="false">
      <c r="A458" s="1"/>
      <c r="B458" s="1"/>
      <c r="C458" s="170"/>
      <c r="D458" s="177"/>
      <c r="E458" s="171"/>
      <c r="F458" s="177" t="s">
        <v>266</v>
      </c>
      <c r="G458" s="170"/>
      <c r="H458" s="175"/>
      <c r="I458" s="170"/>
      <c r="J458" s="170"/>
      <c r="K458" s="170"/>
      <c r="L458" s="170"/>
      <c r="M458" s="1"/>
      <c r="N458" s="179"/>
      <c r="O458" s="1"/>
      <c r="P458" s="1"/>
      <c r="Q458" s="170"/>
      <c r="R458" s="170"/>
      <c r="S458" s="170"/>
      <c r="T458" s="170"/>
      <c r="U458" s="170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255"/>
      <c r="AG458" s="1"/>
      <c r="AH458" s="246"/>
      <c r="AI458" s="1"/>
      <c r="AJ458" s="1"/>
      <c r="AK458" s="1"/>
      <c r="AL458" s="1"/>
    </row>
    <row r="459" customFormat="false" ht="23.8" hidden="false" customHeight="true" outlineLevel="0" collapsed="false">
      <c r="A459" s="1"/>
      <c r="B459" s="1"/>
      <c r="C459" s="170"/>
      <c r="D459" s="177"/>
      <c r="E459" s="171"/>
      <c r="F459" s="170"/>
      <c r="G459" s="170"/>
      <c r="H459" s="170"/>
      <c r="I459" s="170"/>
      <c r="J459" s="170"/>
      <c r="K459" s="170"/>
      <c r="L459" s="170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customFormat="false" ht="23.8" hidden="false" customHeight="true" outlineLevel="0" collapsed="false">
      <c r="A460" s="1"/>
      <c r="B460" s="1"/>
      <c r="C460" s="170"/>
      <c r="D460" s="173"/>
      <c r="E460" s="170"/>
      <c r="F460" s="170"/>
      <c r="G460" s="170"/>
      <c r="H460" s="170"/>
      <c r="I460" s="170"/>
      <c r="J460" s="170"/>
      <c r="K460" s="170"/>
      <c r="L460" s="170"/>
      <c r="M460" s="1"/>
      <c r="N460" s="18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customFormat="false" ht="19.3" hidden="false" customHeight="true" outlineLevel="0" collapsed="false">
      <c r="A461" s="1"/>
      <c r="B461" s="1"/>
      <c r="C461" s="1"/>
      <c r="D461" s="1"/>
      <c r="E461" s="131"/>
      <c r="F461" s="131"/>
      <c r="G461" s="131"/>
      <c r="H461" s="131"/>
      <c r="I461" s="1"/>
      <c r="J461" s="1"/>
      <c r="K461" s="1"/>
      <c r="L461" s="1"/>
      <c r="M461" s="1"/>
      <c r="N461" s="1"/>
      <c r="O461" s="1"/>
      <c r="P461" s="1"/>
      <c r="Q461" s="182" t="n">
        <v>195</v>
      </c>
      <c r="R461" s="182" t="n">
        <v>210</v>
      </c>
      <c r="S461" s="182" t="n">
        <v>225</v>
      </c>
      <c r="T461" s="182" t="n">
        <v>240</v>
      </c>
      <c r="U461" s="182" t="n">
        <v>255</v>
      </c>
      <c r="V461" s="182" t="n">
        <v>270</v>
      </c>
      <c r="W461" s="182" t="n">
        <v>285</v>
      </c>
      <c r="X461" s="182" t="n">
        <v>300</v>
      </c>
      <c r="Y461" s="182" t="n">
        <v>315</v>
      </c>
      <c r="Z461" s="182" t="n">
        <v>330</v>
      </c>
      <c r="AA461" s="182" t="n">
        <v>345</v>
      </c>
      <c r="AB461" s="183" t="n">
        <v>359.99</v>
      </c>
      <c r="AC461" s="184" t="n">
        <v>360</v>
      </c>
      <c r="AD461" s="185" t="s">
        <v>169</v>
      </c>
      <c r="AE461" s="1"/>
      <c r="AF461" s="1"/>
      <c r="AG461" s="1"/>
      <c r="AH461" s="1"/>
      <c r="AI461" s="1"/>
      <c r="AJ461" s="1"/>
      <c r="AK461" s="1"/>
      <c r="AL461" s="1"/>
    </row>
    <row r="462" customFormat="false" ht="19.3" hidden="false" customHeight="true" outlineLevel="0" collapsed="false">
      <c r="A462" s="1"/>
      <c r="B462" s="186"/>
      <c r="C462" s="187" t="s">
        <v>171</v>
      </c>
      <c r="D462" s="188" t="n">
        <v>0.001</v>
      </c>
      <c r="E462" s="182" t="n">
        <v>15</v>
      </c>
      <c r="F462" s="182" t="n">
        <v>30</v>
      </c>
      <c r="G462" s="182" t="n">
        <v>45</v>
      </c>
      <c r="H462" s="182" t="n">
        <v>60</v>
      </c>
      <c r="I462" s="182" t="n">
        <v>75</v>
      </c>
      <c r="J462" s="182" t="n">
        <v>90</v>
      </c>
      <c r="K462" s="182" t="n">
        <v>105</v>
      </c>
      <c r="L462" s="182" t="n">
        <v>120</v>
      </c>
      <c r="M462" s="182" t="n">
        <v>135</v>
      </c>
      <c r="N462" s="182" t="n">
        <v>150</v>
      </c>
      <c r="O462" s="182" t="n">
        <v>165</v>
      </c>
      <c r="P462" s="182" t="n">
        <v>180</v>
      </c>
      <c r="Q462" s="189" t="n">
        <v>-165</v>
      </c>
      <c r="R462" s="189" t="n">
        <v>-150</v>
      </c>
      <c r="S462" s="189" t="n">
        <v>-135</v>
      </c>
      <c r="T462" s="189" t="n">
        <v>-120</v>
      </c>
      <c r="U462" s="189" t="n">
        <v>-105</v>
      </c>
      <c r="V462" s="189" t="n">
        <v>-90</v>
      </c>
      <c r="W462" s="189" t="n">
        <v>-75</v>
      </c>
      <c r="X462" s="189" t="n">
        <v>-60</v>
      </c>
      <c r="Y462" s="189" t="n">
        <v>-45</v>
      </c>
      <c r="Z462" s="189" t="n">
        <v>-30</v>
      </c>
      <c r="AA462" s="189" t="n">
        <v>-15</v>
      </c>
      <c r="AB462" s="183" t="n">
        <v>-0.01</v>
      </c>
      <c r="AC462" s="184" t="n">
        <v>0</v>
      </c>
      <c r="AD462" s="184" t="n">
        <v>0</v>
      </c>
      <c r="AE462" s="1"/>
      <c r="AF462" s="1"/>
      <c r="AG462" s="1"/>
      <c r="AH462" s="1"/>
      <c r="AI462" s="1"/>
      <c r="AJ462" s="1"/>
      <c r="AK462" s="1"/>
      <c r="AL462" s="1"/>
    </row>
    <row r="463" customFormat="false" ht="19.3" hidden="false" customHeight="true" outlineLevel="0" collapsed="false">
      <c r="A463" s="190"/>
      <c r="B463" s="191" t="s">
        <v>173</v>
      </c>
      <c r="C463" s="1"/>
      <c r="D463" s="192" t="n">
        <f aca="false">RADIANS(MOD(D462-180,-360)+180)</f>
        <v>1.74532925200266E-005</v>
      </c>
      <c r="E463" s="192" t="n">
        <f aca="false">RADIANS(MOD(E462-180,-360)+180)</f>
        <v>0.261799387799149</v>
      </c>
      <c r="F463" s="192" t="n">
        <f aca="false">RADIANS(MOD(F462-180,-360)+180)</f>
        <v>0.523598775598299</v>
      </c>
      <c r="G463" s="192" t="n">
        <f aca="false">RADIANS(MOD(G462-180,-360)+180)</f>
        <v>0.785398163397448</v>
      </c>
      <c r="H463" s="192" t="n">
        <f aca="false">RADIANS(MOD(H462-180,-360)+180)</f>
        <v>1.0471975511966</v>
      </c>
      <c r="I463" s="192" t="n">
        <f aca="false">RADIANS(MOD(I462-180,-360)+180)</f>
        <v>1.30899693899575</v>
      </c>
      <c r="J463" s="192" t="n">
        <f aca="false">RADIANS(MOD(J462-180,-360)+180)</f>
        <v>1.5707963267949</v>
      </c>
      <c r="K463" s="192" t="n">
        <f aca="false">RADIANS(MOD(K462-180,-360)+180)</f>
        <v>1.83259571459405</v>
      </c>
      <c r="L463" s="192" t="n">
        <f aca="false">RADIANS(MOD(L462-180,-360)+180)</f>
        <v>2.0943951023932</v>
      </c>
      <c r="M463" s="192" t="n">
        <f aca="false">RADIANS(MOD(M462-180,-360)+180)</f>
        <v>2.35619449019234</v>
      </c>
      <c r="N463" s="192" t="n">
        <f aca="false">RADIANS(MOD(N462-180,-360)+180)</f>
        <v>2.61799387799149</v>
      </c>
      <c r="O463" s="192" t="n">
        <f aca="false">RADIANS(MOD(O462-180,-360)+180)</f>
        <v>2.87979326579064</v>
      </c>
      <c r="P463" s="192" t="n">
        <f aca="false">RADIANS(MOD(P462-180,-360)+180)</f>
        <v>3.14159265358979</v>
      </c>
      <c r="Q463" s="193" t="n">
        <f aca="false">RADIANS(MOD(Q462-180,-360)+180)</f>
        <v>-2.87979326579064</v>
      </c>
      <c r="R463" s="193" t="n">
        <f aca="false">RADIANS(MOD(R462-180,-360)+180)</f>
        <v>-2.61799387799149</v>
      </c>
      <c r="S463" s="193" t="n">
        <f aca="false">RADIANS(MOD(S462-180,-360)+180)</f>
        <v>-2.35619449019234</v>
      </c>
      <c r="T463" s="193" t="n">
        <f aca="false">RADIANS(MOD(T462-180,-360)+180)</f>
        <v>-2.0943951023932</v>
      </c>
      <c r="U463" s="193" t="n">
        <f aca="false">RADIANS(MOD(U462-180,-360)+180)</f>
        <v>-1.83259571459405</v>
      </c>
      <c r="V463" s="193" t="n">
        <f aca="false">RADIANS(MOD(V462-180,-360)+180)</f>
        <v>-1.5707963267949</v>
      </c>
      <c r="W463" s="193" t="n">
        <f aca="false">RADIANS(MOD(W462-180,-360)+180)</f>
        <v>-1.30899693899575</v>
      </c>
      <c r="X463" s="193" t="n">
        <f aca="false">RADIANS(MOD(X462-180,-360)+180)</f>
        <v>-1.0471975511966</v>
      </c>
      <c r="Y463" s="193" t="n">
        <f aca="false">RADIANS(MOD(Y462-180,-360)+180)</f>
        <v>-0.785398163397448</v>
      </c>
      <c r="Z463" s="193" t="n">
        <f aca="false">RADIANS(MOD(Z462-180,-360)+180)</f>
        <v>-0.523598775598299</v>
      </c>
      <c r="AA463" s="193" t="n">
        <f aca="false">RADIANS(MOD(AA462-180,-360)+180)</f>
        <v>-0.261799387799149</v>
      </c>
      <c r="AB463" s="193" t="n">
        <f aca="false">RADIANS(MOD(AB462-180,-360)+180)</f>
        <v>-0.000174532925199274</v>
      </c>
      <c r="AC463" s="193" t="n">
        <f aca="false">RADIANS(MOD(AC462-180,-360)+180)</f>
        <v>0</v>
      </c>
      <c r="AD463" s="193" t="n">
        <f aca="false">RADIANS(MOD(AD462-180,-360)+180)</f>
        <v>0</v>
      </c>
      <c r="AE463" s="1"/>
      <c r="AF463" s="1"/>
      <c r="AG463" s="1"/>
      <c r="AH463" s="1"/>
      <c r="AI463" s="1"/>
      <c r="AJ463" s="1"/>
      <c r="AK463" s="1"/>
      <c r="AL463" s="1"/>
    </row>
    <row r="464" customFormat="false" ht="12.75" hidden="false" customHeight="true" outlineLevel="0" collapsed="false">
      <c r="A464" s="192" t="n">
        <f aca="false">RADIANS(MOD(B464-180,-360)+180)</f>
        <v>1.74532925200266E-005</v>
      </c>
      <c r="B464" s="188" t="n">
        <v>0.001</v>
      </c>
      <c r="C464" s="1"/>
      <c r="D464" s="260" t="n">
        <f aca="false">DEGREES( _xlfn.ACOT( _xlfn.COT(D$463)  *   SIN( ATAN(  SIN(D$463) / TAN($A464) ))))</f>
        <v>0.00141421356234477</v>
      </c>
      <c r="E464" s="260" t="n">
        <f aca="false">DEGREES( _xlfn.ACOT( _xlfn.COT(E$463)  *   SIN( ATAN(  SIN(E$463) / TAN($A464) ))))</f>
        <v>15.0000000325683</v>
      </c>
      <c r="F464" s="260" t="n">
        <f aca="false">DEGREES( _xlfn.ACOT( _xlfn.COT(F$463)  *   SIN( ATAN(  SIN(F$463) / TAN($A464) ))))</f>
        <v>30.000000015115</v>
      </c>
      <c r="G464" s="260" t="n">
        <f aca="false">DEGREES( _xlfn.ACOT( _xlfn.COT(G$463)  *   SIN( ATAN(  SIN(G$463) / TAN($A464) ))))</f>
        <v>45.0000000087266</v>
      </c>
      <c r="H464" s="260" t="n">
        <f aca="false">DEGREES( _xlfn.ACOT( _xlfn.COT(H$463)  *   SIN( ATAN(  SIN(H$463) / TAN($A464) ))))</f>
        <v>60.0000000050383</v>
      </c>
      <c r="I464" s="260" t="n">
        <f aca="false">DEGREES( _xlfn.ACOT( _xlfn.COT(I$463)  *   SIN( ATAN(  SIN(I$463) / TAN($A464) ))))</f>
        <v>75.0000000023383</v>
      </c>
      <c r="J464" s="260" t="n">
        <f aca="false">DEGREES( _xlfn.ACOT( _xlfn.COT(J$463)  *   SIN( ATAN(  SIN(J$463) / TAN($A464) ))))</f>
        <v>90</v>
      </c>
      <c r="K464" s="260" t="n">
        <f aca="false">DEGREES( _xlfn.ACOT( _xlfn.COT(K$463)  *   SIN( ATAN(  SIN(K$463) / TAN($A464) ))))</f>
        <v>104.999999997662</v>
      </c>
      <c r="L464" s="260" t="n">
        <f aca="false">DEGREES( _xlfn.ACOT( _xlfn.COT(L$463)  *   SIN( ATAN(  SIN(L$463) / TAN($A464) ))))</f>
        <v>119.999999994962</v>
      </c>
      <c r="M464" s="260" t="n">
        <f aca="false">DEGREES( _xlfn.ACOT( _xlfn.COT(M$463)  *   SIN( ATAN(  SIN(M$463) / TAN($A464) ))))</f>
        <v>134.999999991273</v>
      </c>
      <c r="N464" s="260" t="n">
        <f aca="false">DEGREES( _xlfn.ACOT( _xlfn.COT(N$463)  *   SIN( ATAN(  SIN(N$463) / TAN($A464) ))))</f>
        <v>149.999999984885</v>
      </c>
      <c r="O464" s="260" t="n">
        <f aca="false">DEGREES( _xlfn.ACOT( _xlfn.COT(O$463)  *   SIN( ATAN(  SIN(O$463) / TAN($A464) ))))</f>
        <v>164.999999967432</v>
      </c>
      <c r="P464" s="260" t="n">
        <f aca="false">DEGREES( _xlfn.ACOT( _xlfn.COT(P$463)  *   SIN( ATAN(  SIN(P$463) / TAN($A464) ))))</f>
        <v>179.999</v>
      </c>
      <c r="Q464" s="260" t="n">
        <f aca="false">DEGREES( _xlfn.ACOT( _xlfn.COT(Q$463)  *   SIN( ATAN(  SIN(Q$463) / TAN($A464) ))))</f>
        <v>164.999999967432</v>
      </c>
      <c r="R464" s="260" t="n">
        <f aca="false">DEGREES( _xlfn.ACOT( _xlfn.COT(R$463)  *   SIN( ATAN(  SIN(R$463) / TAN($A464) ))))</f>
        <v>149.999999984885</v>
      </c>
      <c r="S464" s="260" t="n">
        <f aca="false">DEGREES( _xlfn.ACOT( _xlfn.COT(S$463)  *   SIN( ATAN(  SIN(S$463) / TAN($A464) ))))</f>
        <v>134.999999991273</v>
      </c>
      <c r="T464" s="260" t="n">
        <f aca="false">DEGREES( _xlfn.ACOT( _xlfn.COT(T$463)  *   SIN( ATAN(  SIN(T$463) / TAN($A464) ))))</f>
        <v>119.999999994962</v>
      </c>
      <c r="U464" s="260" t="n">
        <f aca="false">DEGREES( _xlfn.ACOT( _xlfn.COT(U$463)  *   SIN( ATAN(  SIN(U$463) / TAN($A464) ))))</f>
        <v>104.999999997662</v>
      </c>
      <c r="V464" s="260" t="n">
        <f aca="false">DEGREES( _xlfn.ACOT( _xlfn.COT(V$463)  *   SIN( ATAN(  SIN(V$463) / TAN($A464) ))))</f>
        <v>90</v>
      </c>
      <c r="W464" s="260" t="n">
        <f aca="false">DEGREES( _xlfn.ACOT( _xlfn.COT(W$463)  *   SIN( ATAN(  SIN(W$463) / TAN($A464) ))))</f>
        <v>75.0000000023383</v>
      </c>
      <c r="X464" s="260" t="n">
        <f aca="false">DEGREES( _xlfn.ACOT( _xlfn.COT(X$463)  *   SIN( ATAN(  SIN(X$463) / TAN($A464) ))))</f>
        <v>60.0000000050383</v>
      </c>
      <c r="Y464" s="260" t="n">
        <f aca="false">DEGREES( _xlfn.ACOT( _xlfn.COT(Y$463)  *   SIN( ATAN(  SIN(Y$463) / TAN($A464) ))))</f>
        <v>45.0000000087266</v>
      </c>
      <c r="Z464" s="260" t="n">
        <f aca="false">DEGREES( _xlfn.ACOT( _xlfn.COT(Z$463)  *   SIN( ATAN(  SIN(Z$463) / TAN($A464) ))))</f>
        <v>30.000000015115</v>
      </c>
      <c r="AA464" s="260" t="n">
        <f aca="false">DEGREES( _xlfn.ACOT( _xlfn.COT(AA$463)  *   SIN( ATAN(  SIN(AA$463) / TAN($A464) ))))</f>
        <v>15.0000000325683</v>
      </c>
      <c r="AB464" s="260" t="n">
        <f aca="false">DEGREES( _xlfn.ACOT( _xlfn.COT(AB$463)  *   SIN( ATAN(  SIN(AB$463) / TAN($A464) ))))</f>
        <v>0.0100498756205988</v>
      </c>
      <c r="AC464" s="195" t="e">
        <f aca="false">DEGREES( _xlfn.ACOT( _xlfn.COT(AC$463)  *   SIN( ATAN(  SIN(AC$463) / TAN($A464) ))  * SIGN( SIN($A464))))</f>
        <v>#NUM!</v>
      </c>
      <c r="AD464" s="195" t="e">
        <f aca="false">DEGREES( _xlfn.ACOT( _xlfn.COT(AD$463)  *   SIN( ATAN(  SIN(AD$463) / TAN($A464) ))  * SIGN( SIN($A464))))</f>
        <v>#NUM!</v>
      </c>
      <c r="AE464" s="1"/>
      <c r="AF464" s="1"/>
      <c r="AG464" s="1"/>
      <c r="AH464" s="1"/>
      <c r="AI464" s="1"/>
      <c r="AJ464" s="1"/>
      <c r="AK464" s="1"/>
      <c r="AL464" s="1"/>
    </row>
    <row r="465" customFormat="false" ht="12.75" hidden="false" customHeight="true" outlineLevel="0" collapsed="false">
      <c r="A465" s="192" t="n">
        <f aca="false">RADIANS(MOD(B465-180,-360)+180)</f>
        <v>0.261799387799149</v>
      </c>
      <c r="B465" s="182" t="n">
        <v>15</v>
      </c>
      <c r="C465" s="1"/>
      <c r="D465" s="260" t="n">
        <f aca="false">DEGREES( _xlfn.ACOT( _xlfn.COT(D$463)  *   SIN( ATAN(  SIN(D$463) / TAN($A465) ))))</f>
        <v>15.0000000325683</v>
      </c>
      <c r="E465" s="210" t="n">
        <f aca="false">DEGREES( _xlfn.ACOT( _xlfn.COT(E$463)  *   SIN( ATAN(  SIN(E$463) / TAN($A465) ))))</f>
        <v>21.0905811789991</v>
      </c>
      <c r="F465" s="210" t="n">
        <f aca="false">DEGREES( _xlfn.ACOT( _xlfn.COT(F$463)  *   SIN( ATAN(  SIN(F$463) / TAN($A465) ))))</f>
        <v>33.2259422032876</v>
      </c>
      <c r="G465" s="210" t="n">
        <f aca="false">DEGREES( _xlfn.ACOT( _xlfn.COT(G$463)  *   SIN( ATAN(  SIN(G$463) / TAN($A465) ))))</f>
        <v>46.9204828581291</v>
      </c>
      <c r="H465" s="210" t="n">
        <f aca="false">DEGREES( _xlfn.ACOT( _xlfn.COT(H$463)  *   SIN( ATAN(  SIN(H$463) / TAN($A465) ))))</f>
        <v>61.1209059825724</v>
      </c>
      <c r="I465" s="210" t="n">
        <f aca="false">DEGREES( _xlfn.ACOT( _xlfn.COT(I$463)  *   SIN( ATAN(  SIN(I$463) / TAN($A465) ))))</f>
        <v>75.5224878140701</v>
      </c>
      <c r="J465" s="260" t="n">
        <f aca="false">DEGREES( _xlfn.ACOT( _xlfn.COT(J$463)  *   SIN( ATAN(  SIN(J$463) / TAN($A465) ))))</f>
        <v>90</v>
      </c>
      <c r="K465" s="210" t="n">
        <f aca="false">DEGREES( _xlfn.ACOT( _xlfn.COT(K$463)  *   SIN( ATAN(  SIN(K$463) / TAN($A465) ))))</f>
        <v>104.47751218593</v>
      </c>
      <c r="L465" s="210" t="n">
        <f aca="false">DEGREES( _xlfn.ACOT( _xlfn.COT(L$463)  *   SIN( ATAN(  SIN(L$463) / TAN($A465) ))))</f>
        <v>118.879094017428</v>
      </c>
      <c r="M465" s="210" t="n">
        <f aca="false">DEGREES( _xlfn.ACOT( _xlfn.COT(M$463)  *   SIN( ATAN(  SIN(M$463) / TAN($A465) ))))</f>
        <v>133.079517141871</v>
      </c>
      <c r="N465" s="210" t="n">
        <f aca="false">DEGREES( _xlfn.ACOT( _xlfn.COT(N$463)  *   SIN( ATAN(  SIN(N$463) / TAN($A465) ))))</f>
        <v>146.774057796712</v>
      </c>
      <c r="O465" s="210" t="n">
        <f aca="false">DEGREES( _xlfn.ACOT( _xlfn.COT(O$463)  *   SIN( ATAN(  SIN(O$463) / TAN($A465) ))))</f>
        <v>158.909418821001</v>
      </c>
      <c r="P465" s="260" t="n">
        <f aca="false">DEGREES( _xlfn.ACOT( _xlfn.COT(P$463)  *   SIN( ATAN(  SIN(P$463) / TAN($A465) ))))</f>
        <v>165</v>
      </c>
      <c r="Q465" s="210" t="n">
        <f aca="false">DEGREES( _xlfn.ACOT( _xlfn.COT(Q$463)  *   SIN( ATAN(  SIN(Q$463) / TAN($A465) ))))</f>
        <v>158.909418821001</v>
      </c>
      <c r="R465" s="210" t="n">
        <f aca="false">DEGREES( _xlfn.ACOT( _xlfn.COT(R$463)  *   SIN( ATAN(  SIN(R$463) / TAN($A465) ))))</f>
        <v>146.774057796712</v>
      </c>
      <c r="S465" s="210" t="n">
        <f aca="false">DEGREES( _xlfn.ACOT( _xlfn.COT(S$463)  *   SIN( ATAN(  SIN(S$463) / TAN($A465) ))))</f>
        <v>133.079517141871</v>
      </c>
      <c r="T465" s="210" t="n">
        <f aca="false">DEGREES( _xlfn.ACOT( _xlfn.COT(T$463)  *   SIN( ATAN(  SIN(T$463) / TAN($A465) ))))</f>
        <v>118.879094017428</v>
      </c>
      <c r="U465" s="210" t="n">
        <f aca="false">DEGREES( _xlfn.ACOT( _xlfn.COT(U$463)  *   SIN( ATAN(  SIN(U$463) / TAN($A465) ))))</f>
        <v>104.47751218593</v>
      </c>
      <c r="V465" s="260" t="n">
        <f aca="false">DEGREES( _xlfn.ACOT( _xlfn.COT(V$463)  *   SIN( ATAN(  SIN(V$463) / TAN($A465) ))))</f>
        <v>90</v>
      </c>
      <c r="W465" s="210" t="n">
        <f aca="false">DEGREES( _xlfn.ACOT( _xlfn.COT(W$463)  *   SIN( ATAN(  SIN(W$463) / TAN($A465) ))))</f>
        <v>75.5224878140701</v>
      </c>
      <c r="X465" s="210" t="n">
        <f aca="false">DEGREES( _xlfn.ACOT( _xlfn.COT(X$463)  *   SIN( ATAN(  SIN(X$463) / TAN($A465) ))))</f>
        <v>61.1209059825724</v>
      </c>
      <c r="Y465" s="210" t="n">
        <f aca="false">DEGREES( _xlfn.ACOT( _xlfn.COT(Y$463)  *   SIN( ATAN(  SIN(Y$463) / TAN($A465) ))))</f>
        <v>46.9204828581291</v>
      </c>
      <c r="Z465" s="210" t="n">
        <f aca="false">DEGREES( _xlfn.ACOT( _xlfn.COT(Z$463)  *   SIN( ATAN(  SIN(Z$463) / TAN($A465) ))))</f>
        <v>33.2259422032876</v>
      </c>
      <c r="AA465" s="210" t="n">
        <f aca="false">DEGREES( _xlfn.ACOT( _xlfn.COT(AA$463)  *   SIN( ATAN(  SIN(AA$463) / TAN($A465) ))))</f>
        <v>21.0905811789991</v>
      </c>
      <c r="AB465" s="260" t="n">
        <f aca="false">DEGREES( _xlfn.ACOT( _xlfn.COT(AB$463)  *   SIN( ATAN(  SIN(AB$463) / TAN($A465) ))))</f>
        <v>15.0000032568284</v>
      </c>
      <c r="AC465" s="195" t="e">
        <f aca="false">DEGREES( _xlfn.ACOT( _xlfn.COT(AC$463)  *   SIN( ATAN(  SIN(AC$463) / TAN($A465) ))  * SIGN( SIN($A465))))</f>
        <v>#NUM!</v>
      </c>
      <c r="AD465" s="195" t="e">
        <f aca="false">DEGREES( _xlfn.ACOT( _xlfn.COT(AD$463)  *   SIN( ATAN(  SIN(AD$463) / TAN($A465) ))  * SIGN( SIN($A465))))</f>
        <v>#NUM!</v>
      </c>
      <c r="AE465" s="1"/>
      <c r="AF465" s="1"/>
      <c r="AG465" s="1"/>
      <c r="AH465" s="1"/>
      <c r="AI465" s="1"/>
      <c r="AJ465" s="1"/>
      <c r="AK465" s="1"/>
      <c r="AL465" s="1"/>
    </row>
    <row r="466" customFormat="false" ht="12.75" hidden="false" customHeight="true" outlineLevel="0" collapsed="false">
      <c r="A466" s="192" t="n">
        <f aca="false">RADIANS(MOD(B466-180,-360)+180)</f>
        <v>0.523598775598299</v>
      </c>
      <c r="B466" s="182" t="n">
        <v>30</v>
      </c>
      <c r="C466" s="1"/>
      <c r="D466" s="260" t="n">
        <f aca="false">DEGREES( _xlfn.ACOT( _xlfn.COT(D$463)  *   SIN( ATAN(  SIN(D$463) / TAN($A466) ))))</f>
        <v>30.000000015115</v>
      </c>
      <c r="E466" s="210" t="n">
        <f aca="false">DEGREES( _xlfn.ACOT( _xlfn.COT(E$463)  *   SIN( ATAN(  SIN(E$463) / TAN($A466) ))))</f>
        <v>33.2259422032876</v>
      </c>
      <c r="F466" s="210" t="n">
        <f aca="false">DEGREES( _xlfn.ACOT( _xlfn.COT(F$463)  *   SIN( ATAN(  SIN(F$463) / TAN($A466) ))))</f>
        <v>41.4096221092709</v>
      </c>
      <c r="G466" s="210" t="n">
        <f aca="false">DEGREES( _xlfn.ACOT( _xlfn.COT(G$463)  *   SIN( ATAN(  SIN(G$463) / TAN($A466) ))))</f>
        <v>52.238756092965</v>
      </c>
      <c r="H466" s="210" t="n">
        <f aca="false">DEGREES( _xlfn.ACOT( _xlfn.COT(H$463)  *   SIN( ATAN(  SIN(H$463) / TAN($A466) ))))</f>
        <v>64.3410937267447</v>
      </c>
      <c r="I466" s="210" t="n">
        <f aca="false">DEGREES( _xlfn.ACOT( _xlfn.COT(I$463)  *   SIN( ATAN(  SIN(I$463) / TAN($A466) ))))</f>
        <v>77.0474603577776</v>
      </c>
      <c r="J466" s="260" t="n">
        <f aca="false">DEGREES( _xlfn.ACOT( _xlfn.COT(J$463)  *   SIN( ATAN(  SIN(J$463) / TAN($A466) ))))</f>
        <v>90</v>
      </c>
      <c r="K466" s="210" t="n">
        <f aca="false">DEGREES( _xlfn.ACOT( _xlfn.COT(K$463)  *   SIN( ATAN(  SIN(K$463) / TAN($A466) ))))</f>
        <v>102.952539642222</v>
      </c>
      <c r="L466" s="210" t="n">
        <f aca="false">DEGREES( _xlfn.ACOT( _xlfn.COT(L$463)  *   SIN( ATAN(  SIN(L$463) / TAN($A466) ))))</f>
        <v>115.658906273255</v>
      </c>
      <c r="M466" s="210" t="n">
        <f aca="false">DEGREES( _xlfn.ACOT( _xlfn.COT(M$463)  *   SIN( ATAN(  SIN(M$463) / TAN($A466) ))))</f>
        <v>127.761243907035</v>
      </c>
      <c r="N466" s="210" t="n">
        <f aca="false">DEGREES( _xlfn.ACOT( _xlfn.COT(N$463)  *   SIN( ATAN(  SIN(N$463) / TAN($A466) ))))</f>
        <v>138.590377890729</v>
      </c>
      <c r="O466" s="210" t="n">
        <f aca="false">DEGREES( _xlfn.ACOT( _xlfn.COT(O$463)  *   SIN( ATAN(  SIN(O$463) / TAN($A466) ))))</f>
        <v>146.774057796712</v>
      </c>
      <c r="P466" s="260" t="n">
        <f aca="false">DEGREES( _xlfn.ACOT( _xlfn.COT(P$463)  *   SIN( ATAN(  SIN(P$463) / TAN($A466) ))))</f>
        <v>150</v>
      </c>
      <c r="Q466" s="210" t="n">
        <f aca="false">DEGREES( _xlfn.ACOT( _xlfn.COT(Q$463)  *   SIN( ATAN(  SIN(Q$463) / TAN($A466) ))))</f>
        <v>146.774057796712</v>
      </c>
      <c r="R466" s="210" t="n">
        <f aca="false">DEGREES( _xlfn.ACOT( _xlfn.COT(R$463)  *   SIN( ATAN(  SIN(R$463) / TAN($A466) ))))</f>
        <v>138.590377890729</v>
      </c>
      <c r="S466" s="210" t="n">
        <f aca="false">DEGREES( _xlfn.ACOT( _xlfn.COT(S$463)  *   SIN( ATAN(  SIN(S$463) / TAN($A466) ))))</f>
        <v>127.761243907035</v>
      </c>
      <c r="T466" s="210" t="n">
        <f aca="false">DEGREES( _xlfn.ACOT( _xlfn.COT(T$463)  *   SIN( ATAN(  SIN(T$463) / TAN($A466) ))))</f>
        <v>115.658906273255</v>
      </c>
      <c r="U466" s="210" t="n">
        <f aca="false">DEGREES( _xlfn.ACOT( _xlfn.COT(U$463)  *   SIN( ATAN(  SIN(U$463) / TAN($A466) ))))</f>
        <v>102.952539642222</v>
      </c>
      <c r="V466" s="260" t="n">
        <f aca="false">DEGREES( _xlfn.ACOT( _xlfn.COT(V$463)  *   SIN( ATAN(  SIN(V$463) / TAN($A466) ))))</f>
        <v>90</v>
      </c>
      <c r="W466" s="210" t="n">
        <f aca="false">DEGREES( _xlfn.ACOT( _xlfn.COT(W$463)  *   SIN( ATAN(  SIN(W$463) / TAN($A466) ))))</f>
        <v>77.0474603577776</v>
      </c>
      <c r="X466" s="210" t="n">
        <f aca="false">DEGREES( _xlfn.ACOT( _xlfn.COT(X$463)  *   SIN( ATAN(  SIN(X$463) / TAN($A466) ))))</f>
        <v>64.3410937267447</v>
      </c>
      <c r="Y466" s="210" t="n">
        <f aca="false">DEGREES( _xlfn.ACOT( _xlfn.COT(Y$463)  *   SIN( ATAN(  SIN(Y$463) / TAN($A466) ))))</f>
        <v>52.238756092965</v>
      </c>
      <c r="Z466" s="210" t="n">
        <f aca="false">DEGREES( _xlfn.ACOT( _xlfn.COT(Z$463)  *   SIN( ATAN(  SIN(Z$463) / TAN($A466) ))))</f>
        <v>41.4096221092709</v>
      </c>
      <c r="AA466" s="210" t="n">
        <f aca="false">DEGREES( _xlfn.ACOT( _xlfn.COT(AA$463)  *   SIN( ATAN(  SIN(AA$463) / TAN($A466) ))))</f>
        <v>33.2259422032876</v>
      </c>
      <c r="AB466" s="260" t="n">
        <f aca="false">DEGREES( _xlfn.ACOT( _xlfn.COT(AB$463)  *   SIN( ATAN(  SIN(AB$463) / TAN($A466) ))))</f>
        <v>30.0000015114994</v>
      </c>
      <c r="AC466" s="195" t="e">
        <f aca="false">DEGREES( _xlfn.ACOT( _xlfn.COT(AC$463)  *   SIN( ATAN(  SIN(AC$463) / TAN($A466) ))  * SIGN( SIN($A466))))</f>
        <v>#NUM!</v>
      </c>
      <c r="AD466" s="195" t="e">
        <f aca="false">DEGREES( _xlfn.ACOT( _xlfn.COT(AD$463)  *   SIN( ATAN(  SIN(AD$463) / TAN($A466) ))  * SIGN( SIN($A466))))</f>
        <v>#NUM!</v>
      </c>
      <c r="AE466" s="1"/>
      <c r="AF466" s="1"/>
      <c r="AG466" s="1"/>
      <c r="AH466" s="1"/>
      <c r="AI466" s="1"/>
      <c r="AJ466" s="1"/>
      <c r="AK466" s="1"/>
      <c r="AL466" s="1"/>
    </row>
    <row r="467" customFormat="false" ht="12.75" hidden="false" customHeight="true" outlineLevel="0" collapsed="false">
      <c r="A467" s="192" t="n">
        <f aca="false">RADIANS(MOD(B467-180,-360)+180)</f>
        <v>0.785398163397448</v>
      </c>
      <c r="B467" s="182" t="n">
        <v>45</v>
      </c>
      <c r="C467" s="1"/>
      <c r="D467" s="260" t="n">
        <f aca="false">DEGREES( _xlfn.ACOT( _xlfn.COT(D$463)  *   SIN( ATAN(  SIN(D$463) / TAN($A467) ))))</f>
        <v>45.0000000087266</v>
      </c>
      <c r="E467" s="210" t="n">
        <f aca="false">DEGREES( _xlfn.ACOT( _xlfn.COT(E$463)  *   SIN( ATAN(  SIN(E$463) / TAN($A467) ))))</f>
        <v>46.9204828581291</v>
      </c>
      <c r="F467" s="210" t="n">
        <f aca="false">DEGREES( _xlfn.ACOT( _xlfn.COT(F$463)  *   SIN( ATAN(  SIN(F$463) / TAN($A467) ))))</f>
        <v>52.238756092965</v>
      </c>
      <c r="G467" s="210" t="n">
        <f aca="false">DEGREES( _xlfn.ACOT( _xlfn.COT(G$463)  *   SIN( ATAN(  SIN(G$463) / TAN($A467) ))))</f>
        <v>60</v>
      </c>
      <c r="H467" s="210" t="n">
        <f aca="false">DEGREES( _xlfn.ACOT( _xlfn.COT(H$463)  *   SIN( ATAN(  SIN(H$463) / TAN($A467) ))))</f>
        <v>69.2951889453646</v>
      </c>
      <c r="I467" s="210" t="n">
        <f aca="false">DEGREES( _xlfn.ACOT( _xlfn.COT(I$463)  *   SIN( ATAN(  SIN(I$463) / TAN($A467) ))))</f>
        <v>79.4547094105004</v>
      </c>
      <c r="J467" s="260" t="n">
        <f aca="false">DEGREES( _xlfn.ACOT( _xlfn.COT(J$463)  *   SIN( ATAN(  SIN(J$463) / TAN($A467) ))))</f>
        <v>90</v>
      </c>
      <c r="K467" s="210" t="n">
        <f aca="false">DEGREES( _xlfn.ACOT( _xlfn.COT(K$463)  *   SIN( ATAN(  SIN(K$463) / TAN($A467) ))))</f>
        <v>100.5452905895</v>
      </c>
      <c r="L467" s="210" t="n">
        <f aca="false">DEGREES( _xlfn.ACOT( _xlfn.COT(L$463)  *   SIN( ATAN(  SIN(L$463) / TAN($A467) ))))</f>
        <v>110.704811054635</v>
      </c>
      <c r="M467" s="210" t="n">
        <f aca="false">DEGREES( _xlfn.ACOT( _xlfn.COT(M$463)  *   SIN( ATAN(  SIN(M$463) / TAN($A467) ))))</f>
        <v>120</v>
      </c>
      <c r="N467" s="210" t="n">
        <f aca="false">DEGREES( _xlfn.ACOT( _xlfn.COT(N$463)  *   SIN( ATAN(  SIN(N$463) / TAN($A467) ))))</f>
        <v>127.761243907035</v>
      </c>
      <c r="O467" s="210" t="n">
        <f aca="false">DEGREES( _xlfn.ACOT( _xlfn.COT(O$463)  *   SIN( ATAN(  SIN(O$463) / TAN($A467) ))))</f>
        <v>133.079517141871</v>
      </c>
      <c r="P467" s="260" t="n">
        <f aca="false">DEGREES( _xlfn.ACOT( _xlfn.COT(P$463)  *   SIN( ATAN(  SIN(P$463) / TAN($A467) ))))</f>
        <v>135</v>
      </c>
      <c r="Q467" s="210" t="n">
        <f aca="false">DEGREES( _xlfn.ACOT( _xlfn.COT(Q$463)  *   SIN( ATAN(  SIN(Q$463) / TAN($A467) ))))</f>
        <v>133.079517141871</v>
      </c>
      <c r="R467" s="210" t="n">
        <f aca="false">DEGREES( _xlfn.ACOT( _xlfn.COT(R$463)  *   SIN( ATAN(  SIN(R$463) / TAN($A467) ))))</f>
        <v>127.761243907035</v>
      </c>
      <c r="S467" s="210" t="n">
        <f aca="false">DEGREES( _xlfn.ACOT( _xlfn.COT(S$463)  *   SIN( ATAN(  SIN(S$463) / TAN($A467) ))))</f>
        <v>120</v>
      </c>
      <c r="T467" s="210" t="n">
        <f aca="false">DEGREES( _xlfn.ACOT( _xlfn.COT(T$463)  *   SIN( ATAN(  SIN(T$463) / TAN($A467) ))))</f>
        <v>110.704811054635</v>
      </c>
      <c r="U467" s="210" t="n">
        <f aca="false">DEGREES( _xlfn.ACOT( _xlfn.COT(U$463)  *   SIN( ATAN(  SIN(U$463) / TAN($A467) ))))</f>
        <v>100.5452905895</v>
      </c>
      <c r="V467" s="260" t="n">
        <f aca="false">DEGREES( _xlfn.ACOT( _xlfn.COT(V$463)  *   SIN( ATAN(  SIN(V$463) / TAN($A467) ))))</f>
        <v>90</v>
      </c>
      <c r="W467" s="210" t="n">
        <f aca="false">DEGREES( _xlfn.ACOT( _xlfn.COT(W$463)  *   SIN( ATAN(  SIN(W$463) / TAN($A467) ))))</f>
        <v>79.4547094105004</v>
      </c>
      <c r="X467" s="210" t="n">
        <f aca="false">DEGREES( _xlfn.ACOT( _xlfn.COT(X$463)  *   SIN( ATAN(  SIN(X$463) / TAN($A467) ))))</f>
        <v>69.2951889453646</v>
      </c>
      <c r="Y467" s="210" t="n">
        <f aca="false">DEGREES( _xlfn.ACOT( _xlfn.COT(Y$463)  *   SIN( ATAN(  SIN(Y$463) / TAN($A467) ))))</f>
        <v>60</v>
      </c>
      <c r="Z467" s="210" t="n">
        <f aca="false">DEGREES( _xlfn.ACOT( _xlfn.COT(Z$463)  *   SIN( ATAN(  SIN(Z$463) / TAN($A467) ))))</f>
        <v>52.238756092965</v>
      </c>
      <c r="AA467" s="210" t="n">
        <f aca="false">DEGREES( _xlfn.ACOT( _xlfn.COT(AA$463)  *   SIN( ATAN(  SIN(AA$463) / TAN($A467) ))))</f>
        <v>46.9204828581291</v>
      </c>
      <c r="AB467" s="260" t="n">
        <f aca="false">DEGREES( _xlfn.ACOT( _xlfn.COT(AB$463)  *   SIN( ATAN(  SIN(AB$463) / TAN($A467) ))))</f>
        <v>45.0000008726646</v>
      </c>
      <c r="AC467" s="195" t="e">
        <f aca="false">DEGREES( _xlfn.ACOT( _xlfn.COT(AC$463)  *   SIN( ATAN(  SIN(AC$463) / TAN($A467) ))  * SIGN( SIN($A467))))</f>
        <v>#NUM!</v>
      </c>
      <c r="AD467" s="195" t="e">
        <f aca="false">DEGREES( _xlfn.ACOT( _xlfn.COT(AD$463)  *   SIN( ATAN(  SIN(AD$463) / TAN($A467) ))  * SIGN( SIN($A467))))</f>
        <v>#NUM!</v>
      </c>
      <c r="AE467" s="1"/>
      <c r="AF467" s="1"/>
      <c r="AG467" s="1"/>
      <c r="AH467" s="1"/>
      <c r="AI467" s="1"/>
      <c r="AJ467" s="1"/>
      <c r="AK467" s="1"/>
      <c r="AL467" s="1"/>
    </row>
    <row r="468" customFormat="false" ht="12.75" hidden="false" customHeight="true" outlineLevel="0" collapsed="false">
      <c r="A468" s="192" t="n">
        <f aca="false">RADIANS(MOD(B468-180,-360)+180)</f>
        <v>1.0471975511966</v>
      </c>
      <c r="B468" s="182" t="n">
        <v>60</v>
      </c>
      <c r="C468" s="1"/>
      <c r="D468" s="260" t="n">
        <f aca="false">DEGREES( _xlfn.ACOT( _xlfn.COT(D$463)  *   SIN( ATAN(  SIN(D$463) / TAN($A468) ))))</f>
        <v>60.0000000050383</v>
      </c>
      <c r="E468" s="210" t="n">
        <f aca="false">DEGREES( _xlfn.ACOT( _xlfn.COT(E$463)  *   SIN( ATAN(  SIN(E$463) / TAN($A468) ))))</f>
        <v>61.1209059825724</v>
      </c>
      <c r="F468" s="210" t="n">
        <f aca="false">DEGREES( _xlfn.ACOT( _xlfn.COT(F$463)  *   SIN( ATAN(  SIN(F$463) / TAN($A468) ))))</f>
        <v>64.3410937267447</v>
      </c>
      <c r="G468" s="210" t="n">
        <f aca="false">DEGREES( _xlfn.ACOT( _xlfn.COT(G$463)  *   SIN( ATAN(  SIN(G$463) / TAN($A468) ))))</f>
        <v>69.2951889453646</v>
      </c>
      <c r="H468" s="210" t="n">
        <f aca="false">DEGREES( _xlfn.ACOT( _xlfn.COT(H$463)  *   SIN( ATAN(  SIN(H$463) / TAN($A468) ))))</f>
        <v>75.5224878140701</v>
      </c>
      <c r="I468" s="210" t="n">
        <f aca="false">DEGREES( _xlfn.ACOT( _xlfn.COT(I$463)  *   SIN( ATAN(  SIN(I$463) / TAN($A468) ))))</f>
        <v>82.5645277738682</v>
      </c>
      <c r="J468" s="260" t="n">
        <f aca="false">DEGREES( _xlfn.ACOT( _xlfn.COT(J$463)  *   SIN( ATAN(  SIN(J$463) / TAN($A468) ))))</f>
        <v>90</v>
      </c>
      <c r="K468" s="210" t="n">
        <f aca="false">DEGREES( _xlfn.ACOT( _xlfn.COT(K$463)  *   SIN( ATAN(  SIN(K$463) / TAN($A468) ))))</f>
        <v>97.4354722261319</v>
      </c>
      <c r="L468" s="210" t="n">
        <f aca="false">DEGREES( _xlfn.ACOT( _xlfn.COT(L$463)  *   SIN( ATAN(  SIN(L$463) / TAN($A468) ))))</f>
        <v>104.47751218593</v>
      </c>
      <c r="M468" s="210" t="n">
        <f aca="false">DEGREES( _xlfn.ACOT( _xlfn.COT(M$463)  *   SIN( ATAN(  SIN(M$463) / TAN($A468) ))))</f>
        <v>110.704811054635</v>
      </c>
      <c r="N468" s="210" t="n">
        <f aca="false">DEGREES( _xlfn.ACOT( _xlfn.COT(N$463)  *   SIN( ATAN(  SIN(N$463) / TAN($A468) ))))</f>
        <v>115.658906273255</v>
      </c>
      <c r="O468" s="210" t="n">
        <f aca="false">DEGREES( _xlfn.ACOT( _xlfn.COT(O$463)  *   SIN( ATAN(  SIN(O$463) / TAN($A468) ))))</f>
        <v>118.879094017428</v>
      </c>
      <c r="P468" s="260" t="n">
        <f aca="false">DEGREES( _xlfn.ACOT( _xlfn.COT(P$463)  *   SIN( ATAN(  SIN(P$463) / TAN($A468) ))))</f>
        <v>120</v>
      </c>
      <c r="Q468" s="210" t="n">
        <f aca="false">DEGREES( _xlfn.ACOT( _xlfn.COT(Q$463)  *   SIN( ATAN(  SIN(Q$463) / TAN($A468) ))))</f>
        <v>118.879094017428</v>
      </c>
      <c r="R468" s="210" t="n">
        <f aca="false">DEGREES( _xlfn.ACOT( _xlfn.COT(R$463)  *   SIN( ATAN(  SIN(R$463) / TAN($A468) ))))</f>
        <v>115.658906273255</v>
      </c>
      <c r="S468" s="210" t="n">
        <f aca="false">DEGREES( _xlfn.ACOT( _xlfn.COT(S$463)  *   SIN( ATAN(  SIN(S$463) / TAN($A468) ))))</f>
        <v>110.704811054635</v>
      </c>
      <c r="T468" s="210" t="n">
        <f aca="false">DEGREES( _xlfn.ACOT( _xlfn.COT(T$463)  *   SIN( ATAN(  SIN(T$463) / TAN($A468) ))))</f>
        <v>104.47751218593</v>
      </c>
      <c r="U468" s="210" t="n">
        <f aca="false">DEGREES( _xlfn.ACOT( _xlfn.COT(U$463)  *   SIN( ATAN(  SIN(U$463) / TAN($A468) ))))</f>
        <v>97.4354722261319</v>
      </c>
      <c r="V468" s="260" t="n">
        <f aca="false">DEGREES( _xlfn.ACOT( _xlfn.COT(V$463)  *   SIN( ATAN(  SIN(V$463) / TAN($A468) ))))</f>
        <v>90</v>
      </c>
      <c r="W468" s="210" t="n">
        <f aca="false">DEGREES( _xlfn.ACOT( _xlfn.COT(W$463)  *   SIN( ATAN(  SIN(W$463) / TAN($A468) ))))</f>
        <v>82.5645277738682</v>
      </c>
      <c r="X468" s="210" t="n">
        <f aca="false">DEGREES( _xlfn.ACOT( _xlfn.COT(X$463)  *   SIN( ATAN(  SIN(X$463) / TAN($A468) ))))</f>
        <v>75.5224878140701</v>
      </c>
      <c r="Y468" s="210" t="n">
        <f aca="false">DEGREES( _xlfn.ACOT( _xlfn.COT(Y$463)  *   SIN( ATAN(  SIN(Y$463) / TAN($A468) ))))</f>
        <v>69.2951889453646</v>
      </c>
      <c r="Z468" s="210" t="n">
        <f aca="false">DEGREES( _xlfn.ACOT( _xlfn.COT(Z$463)  *   SIN( ATAN(  SIN(Z$463) / TAN($A468) ))))</f>
        <v>64.3410937267447</v>
      </c>
      <c r="AA468" s="210" t="n">
        <f aca="false">DEGREES( _xlfn.ACOT( _xlfn.COT(AA$463)  *   SIN( ATAN(  SIN(AA$463) / TAN($A468) ))))</f>
        <v>61.1209059825724</v>
      </c>
      <c r="AB468" s="260" t="n">
        <f aca="false">DEGREES( _xlfn.ACOT( _xlfn.COT(AB$463)  *   SIN( ATAN(  SIN(AB$463) / TAN($A468) ))))</f>
        <v>60.0000005038332</v>
      </c>
      <c r="AC468" s="195" t="e">
        <f aca="false">DEGREES( _xlfn.ACOT( _xlfn.COT(AC$463)  *   SIN( ATAN(  SIN(AC$463) / TAN($A468) ))  * SIGN( SIN($A468))))</f>
        <v>#NUM!</v>
      </c>
      <c r="AD468" s="195" t="e">
        <f aca="false">DEGREES( _xlfn.ACOT( _xlfn.COT(AD$463)  *   SIN( ATAN(  SIN(AD$463) / TAN($A468) ))  * SIGN( SIN($A468))))</f>
        <v>#NUM!</v>
      </c>
      <c r="AE468" s="1"/>
      <c r="AF468" s="1"/>
      <c r="AG468" s="1"/>
      <c r="AH468" s="1"/>
      <c r="AI468" s="1"/>
      <c r="AJ468" s="1"/>
      <c r="AK468" s="1"/>
      <c r="AL468" s="1"/>
    </row>
    <row r="469" customFormat="false" ht="12.75" hidden="false" customHeight="true" outlineLevel="0" collapsed="false">
      <c r="A469" s="192" t="n">
        <f aca="false">RADIANS(MOD(B469-180,-360)+180)</f>
        <v>1.30899693899575</v>
      </c>
      <c r="B469" s="182" t="n">
        <v>75</v>
      </c>
      <c r="C469" s="1"/>
      <c r="D469" s="260" t="n">
        <f aca="false">DEGREES( _xlfn.ACOT( _xlfn.COT(D$463)  *   SIN( ATAN(  SIN(D$463) / TAN($A469) ))))</f>
        <v>75.0000000023383</v>
      </c>
      <c r="E469" s="210" t="n">
        <f aca="false">DEGREES( _xlfn.ACOT( _xlfn.COT(E$463)  *   SIN( ATAN(  SIN(E$463) / TAN($A469) ))))</f>
        <v>75.5224878140701</v>
      </c>
      <c r="F469" s="210" t="n">
        <f aca="false">DEGREES( _xlfn.ACOT( _xlfn.COT(F$463)  *   SIN( ATAN(  SIN(F$463) / TAN($A469) ))))</f>
        <v>77.0474603577776</v>
      </c>
      <c r="G469" s="210" t="n">
        <f aca="false">DEGREES( _xlfn.ACOT( _xlfn.COT(G$463)  *   SIN( ATAN(  SIN(G$463) / TAN($A469) ))))</f>
        <v>79.4547094105004</v>
      </c>
      <c r="H469" s="210" t="n">
        <f aca="false">DEGREES( _xlfn.ACOT( _xlfn.COT(H$463)  *   SIN( ATAN(  SIN(H$463) / TAN($A469) ))))</f>
        <v>82.5645277738682</v>
      </c>
      <c r="I469" s="210" t="n">
        <f aca="false">DEGREES( _xlfn.ACOT( _xlfn.COT(I$463)  *   SIN( ATAN(  SIN(I$463) / TAN($A469) ))))</f>
        <v>86.1590342837419</v>
      </c>
      <c r="J469" s="260" t="n">
        <f aca="false">DEGREES( _xlfn.ACOT( _xlfn.COT(J$463)  *   SIN( ATAN(  SIN(J$463) / TAN($A469) ))))</f>
        <v>90</v>
      </c>
      <c r="K469" s="210" t="n">
        <f aca="false">DEGREES( _xlfn.ACOT( _xlfn.COT(K$463)  *   SIN( ATAN(  SIN(K$463) / TAN($A469) ))))</f>
        <v>93.8409657162582</v>
      </c>
      <c r="L469" s="210" t="n">
        <f aca="false">DEGREES( _xlfn.ACOT( _xlfn.COT(L$463)  *   SIN( ATAN(  SIN(L$463) / TAN($A469) ))))</f>
        <v>97.4354722261318</v>
      </c>
      <c r="M469" s="210" t="n">
        <f aca="false">DEGREES( _xlfn.ACOT( _xlfn.COT(M$463)  *   SIN( ATAN(  SIN(M$463) / TAN($A469) ))))</f>
        <v>100.5452905895</v>
      </c>
      <c r="N469" s="210" t="n">
        <f aca="false">DEGREES( _xlfn.ACOT( _xlfn.COT(N$463)  *   SIN( ATAN(  SIN(N$463) / TAN($A469) ))))</f>
        <v>102.952539642222</v>
      </c>
      <c r="O469" s="210" t="n">
        <f aca="false">DEGREES( _xlfn.ACOT( _xlfn.COT(O$463)  *   SIN( ATAN(  SIN(O$463) / TAN($A469) ))))</f>
        <v>104.47751218593</v>
      </c>
      <c r="P469" s="260" t="n">
        <f aca="false">DEGREES( _xlfn.ACOT( _xlfn.COT(P$463)  *   SIN( ATAN(  SIN(P$463) / TAN($A469) ))))</f>
        <v>105</v>
      </c>
      <c r="Q469" s="210" t="n">
        <f aca="false">DEGREES( _xlfn.ACOT( _xlfn.COT(Q$463)  *   SIN( ATAN(  SIN(Q$463) / TAN($A469) ))))</f>
        <v>104.47751218593</v>
      </c>
      <c r="R469" s="210" t="n">
        <f aca="false">DEGREES( _xlfn.ACOT( _xlfn.COT(R$463)  *   SIN( ATAN(  SIN(R$463) / TAN($A469) ))))</f>
        <v>102.952539642222</v>
      </c>
      <c r="S469" s="210" t="n">
        <f aca="false">DEGREES( _xlfn.ACOT( _xlfn.COT(S$463)  *   SIN( ATAN(  SIN(S$463) / TAN($A469) ))))</f>
        <v>100.5452905895</v>
      </c>
      <c r="T469" s="210" t="n">
        <f aca="false">DEGREES( _xlfn.ACOT( _xlfn.COT(T$463)  *   SIN( ATAN(  SIN(T$463) / TAN($A469) ))))</f>
        <v>97.4354722261318</v>
      </c>
      <c r="U469" s="210" t="n">
        <f aca="false">DEGREES( _xlfn.ACOT( _xlfn.COT(U$463)  *   SIN( ATAN(  SIN(U$463) / TAN($A469) ))))</f>
        <v>93.8409657162582</v>
      </c>
      <c r="V469" s="260" t="n">
        <f aca="false">DEGREES( _xlfn.ACOT( _xlfn.COT(V$463)  *   SIN( ATAN(  SIN(V$463) / TAN($A469) ))))</f>
        <v>90</v>
      </c>
      <c r="W469" s="210" t="n">
        <f aca="false">DEGREES( _xlfn.ACOT( _xlfn.COT(W$463)  *   SIN( ATAN(  SIN(W$463) / TAN($A469) ))))</f>
        <v>86.1590342837419</v>
      </c>
      <c r="X469" s="210" t="n">
        <f aca="false">DEGREES( _xlfn.ACOT( _xlfn.COT(X$463)  *   SIN( ATAN(  SIN(X$463) / TAN($A469) ))))</f>
        <v>82.5645277738682</v>
      </c>
      <c r="Y469" s="210" t="n">
        <f aca="false">DEGREES( _xlfn.ACOT( _xlfn.COT(Y$463)  *   SIN( ATAN(  SIN(Y$463) / TAN($A469) ))))</f>
        <v>79.4547094105004</v>
      </c>
      <c r="Z469" s="210" t="n">
        <f aca="false">DEGREES( _xlfn.ACOT( _xlfn.COT(Z$463)  *   SIN( ATAN(  SIN(Z$463) / TAN($A469) ))))</f>
        <v>77.0474603577776</v>
      </c>
      <c r="AA469" s="210" t="n">
        <f aca="false">DEGREES( _xlfn.ACOT( _xlfn.COT(AA$463)  *   SIN( ATAN(  SIN(AA$463) / TAN($A469) ))))</f>
        <v>75.5224878140701</v>
      </c>
      <c r="AB469" s="260" t="n">
        <f aca="false">DEGREES( _xlfn.ACOT( _xlfn.COT(AB$463)  *   SIN( ATAN(  SIN(AB$463) / TAN($A469) ))))</f>
        <v>75.0000002338298</v>
      </c>
      <c r="AC469" s="195" t="e">
        <f aca="false">DEGREES( _xlfn.ACOT( _xlfn.COT(AC$463)  *   SIN( ATAN(  SIN(AC$463) / TAN($A469) ))  * SIGN( SIN($A469))))</f>
        <v>#NUM!</v>
      </c>
      <c r="AD469" s="195" t="e">
        <f aca="false">DEGREES( _xlfn.ACOT( _xlfn.COT(AD$463)  *   SIN( ATAN(  SIN(AD$463) / TAN($A469) ))  * SIGN( SIN($A469))))</f>
        <v>#NUM!</v>
      </c>
      <c r="AE469" s="1"/>
      <c r="AF469" s="1"/>
      <c r="AG469" s="1"/>
      <c r="AH469" s="1"/>
      <c r="AI469" s="1"/>
      <c r="AJ469" s="1"/>
      <c r="AK469" s="1"/>
      <c r="AL469" s="1"/>
    </row>
    <row r="470" customFormat="false" ht="12.75" hidden="false" customHeight="true" outlineLevel="0" collapsed="false">
      <c r="A470" s="192" t="n">
        <f aca="false">RADIANS(MOD(B470-180,-360)+180)</f>
        <v>1.5707963267949</v>
      </c>
      <c r="B470" s="182" t="n">
        <v>90</v>
      </c>
      <c r="C470" s="1"/>
      <c r="D470" s="260" t="n">
        <f aca="false">DEGREES( _xlfn.ACOT( _xlfn.COT(D$463)  *   SIN( ATAN(  SIN(D$463) / TAN($A470) ))))</f>
        <v>90</v>
      </c>
      <c r="E470" s="260" t="n">
        <f aca="false">DEGREES( _xlfn.ACOT( _xlfn.COT(E$463)  *   SIN( ATAN(  SIN(E$463) / TAN($A470) ))))</f>
        <v>90</v>
      </c>
      <c r="F470" s="260" t="n">
        <f aca="false">DEGREES( _xlfn.ACOT( _xlfn.COT(F$463)  *   SIN( ATAN(  SIN(F$463) / TAN($A470) ))))</f>
        <v>90</v>
      </c>
      <c r="G470" s="260" t="n">
        <f aca="false">DEGREES( _xlfn.ACOT( _xlfn.COT(G$463)  *   SIN( ATAN(  SIN(G$463) / TAN($A470) ))))</f>
        <v>90</v>
      </c>
      <c r="H470" s="260" t="n">
        <f aca="false">DEGREES( _xlfn.ACOT( _xlfn.COT(H$463)  *   SIN( ATAN(  SIN(H$463) / TAN($A470) ))))</f>
        <v>90</v>
      </c>
      <c r="I470" s="260" t="n">
        <f aca="false">DEGREES( _xlfn.ACOT( _xlfn.COT(I$463)  *   SIN( ATAN(  SIN(I$463) / TAN($A470) ))))</f>
        <v>90</v>
      </c>
      <c r="J470" s="260" t="n">
        <f aca="false">DEGREES( _xlfn.ACOT( _xlfn.COT(J$463)  *   SIN( ATAN(  SIN(J$463) / TAN($A470) ))))</f>
        <v>90</v>
      </c>
      <c r="K470" s="260" t="n">
        <f aca="false">DEGREES( _xlfn.ACOT( _xlfn.COT(K$463)  *   SIN( ATAN(  SIN(K$463) / TAN($A470) ))))</f>
        <v>90</v>
      </c>
      <c r="L470" s="260" t="n">
        <f aca="false">DEGREES( _xlfn.ACOT( _xlfn.COT(L$463)  *   SIN( ATAN(  SIN(L$463) / TAN($A470) ))))</f>
        <v>90</v>
      </c>
      <c r="M470" s="260" t="n">
        <f aca="false">DEGREES( _xlfn.ACOT( _xlfn.COT(M$463)  *   SIN( ATAN(  SIN(M$463) / TAN($A470) ))))</f>
        <v>90</v>
      </c>
      <c r="N470" s="260" t="n">
        <f aca="false">DEGREES( _xlfn.ACOT( _xlfn.COT(N$463)  *   SIN( ATAN(  SIN(N$463) / TAN($A470) ))))</f>
        <v>90</v>
      </c>
      <c r="O470" s="260" t="n">
        <f aca="false">DEGREES( _xlfn.ACOT( _xlfn.COT(O$463)  *   SIN( ATAN(  SIN(O$463) / TAN($A470) ))))</f>
        <v>90</v>
      </c>
      <c r="P470" s="260" t="n">
        <f aca="false">DEGREES( _xlfn.ACOT( _xlfn.COT(P$463)  *   SIN( ATAN(  SIN(P$463) / TAN($A470) ))))</f>
        <v>90</v>
      </c>
      <c r="Q470" s="260" t="n">
        <f aca="false">DEGREES( _xlfn.ACOT( _xlfn.COT(Q$463)  *   SIN( ATAN(  SIN(Q$463) / TAN($A470) ))))</f>
        <v>90</v>
      </c>
      <c r="R470" s="260" t="n">
        <f aca="false">DEGREES( _xlfn.ACOT( _xlfn.COT(R$463)  *   SIN( ATAN(  SIN(R$463) / TAN($A470) ))))</f>
        <v>90</v>
      </c>
      <c r="S470" s="260" t="n">
        <f aca="false">DEGREES( _xlfn.ACOT( _xlfn.COT(S$463)  *   SIN( ATAN(  SIN(S$463) / TAN($A470) ))))</f>
        <v>90</v>
      </c>
      <c r="T470" s="260" t="n">
        <f aca="false">DEGREES( _xlfn.ACOT( _xlfn.COT(T$463)  *   SIN( ATAN(  SIN(T$463) / TAN($A470) ))))</f>
        <v>90</v>
      </c>
      <c r="U470" s="260" t="n">
        <f aca="false">DEGREES( _xlfn.ACOT( _xlfn.COT(U$463)  *   SIN( ATAN(  SIN(U$463) / TAN($A470) ))))</f>
        <v>90</v>
      </c>
      <c r="V470" s="260" t="n">
        <f aca="false">DEGREES( _xlfn.ACOT( _xlfn.COT(V$463)  *   SIN( ATAN(  SIN(V$463) / TAN($A470) ))))</f>
        <v>90</v>
      </c>
      <c r="W470" s="260" t="n">
        <f aca="false">DEGREES( _xlfn.ACOT( _xlfn.COT(W$463)  *   SIN( ATAN(  SIN(W$463) / TAN($A470) ))))</f>
        <v>90</v>
      </c>
      <c r="X470" s="260" t="n">
        <f aca="false">DEGREES( _xlfn.ACOT( _xlfn.COT(X$463)  *   SIN( ATAN(  SIN(X$463) / TAN($A470) ))))</f>
        <v>90</v>
      </c>
      <c r="Y470" s="260" t="n">
        <f aca="false">DEGREES( _xlfn.ACOT( _xlfn.COT(Y$463)  *   SIN( ATAN(  SIN(Y$463) / TAN($A470) ))))</f>
        <v>90</v>
      </c>
      <c r="Z470" s="260" t="n">
        <f aca="false">DEGREES( _xlfn.ACOT( _xlfn.COT(Z$463)  *   SIN( ATAN(  SIN(Z$463) / TAN($A470) ))))</f>
        <v>90</v>
      </c>
      <c r="AA470" s="260" t="n">
        <f aca="false">DEGREES( _xlfn.ACOT( _xlfn.COT(AA$463)  *   SIN( ATAN(  SIN(AA$463) / TAN($A470) ))))</f>
        <v>90</v>
      </c>
      <c r="AB470" s="260" t="n">
        <f aca="false">DEGREES( _xlfn.ACOT( _xlfn.COT(AB$463)  *   SIN( ATAN(  SIN(AB$463) / TAN($A470) ))))</f>
        <v>90</v>
      </c>
      <c r="AC470" s="195" t="e">
        <f aca="false">DEGREES( _xlfn.ACOT( _xlfn.COT(AC$463)  *   SIN( ATAN(  SIN(AC$463) / TAN($A470) ))  * SIGN( SIN($A470))))</f>
        <v>#NUM!</v>
      </c>
      <c r="AD470" s="195" t="e">
        <f aca="false">DEGREES( _xlfn.ACOT( _xlfn.COT(AD$463)  *   SIN( ATAN(  SIN(AD$463) / TAN($A470) ))  * SIGN( SIN($A470))))</f>
        <v>#NUM!</v>
      </c>
      <c r="AE470" s="1"/>
      <c r="AF470" s="1"/>
      <c r="AG470" s="1"/>
      <c r="AH470" s="1"/>
      <c r="AI470" s="1"/>
      <c r="AJ470" s="1"/>
      <c r="AK470" s="1"/>
      <c r="AL470" s="1"/>
    </row>
    <row r="471" customFormat="false" ht="12.75" hidden="false" customHeight="true" outlineLevel="0" collapsed="false">
      <c r="A471" s="192" t="n">
        <f aca="false">RADIANS(MOD(B471-180,-360)+180)</f>
        <v>1.83259571459405</v>
      </c>
      <c r="B471" s="182" t="n">
        <v>105</v>
      </c>
      <c r="C471" s="1"/>
      <c r="D471" s="260" t="n">
        <f aca="false">DEGREES( _xlfn.ACOT( _xlfn.COT(D$463)  *   SIN( ATAN(  SIN(D$463) / TAN($A471) ))))</f>
        <v>104.999999997662</v>
      </c>
      <c r="E471" s="210" t="n">
        <f aca="false">DEGREES( _xlfn.ACOT( _xlfn.COT(E$463)  *   SIN( ATAN(  SIN(E$463) / TAN($A471) ))))</f>
        <v>104.47751218593</v>
      </c>
      <c r="F471" s="210" t="n">
        <f aca="false">DEGREES( _xlfn.ACOT( _xlfn.COT(F$463)  *   SIN( ATAN(  SIN(F$463) / TAN($A471) ))))</f>
        <v>102.952539642222</v>
      </c>
      <c r="G471" s="210" t="n">
        <f aca="false">DEGREES( _xlfn.ACOT( _xlfn.COT(G$463)  *   SIN( ATAN(  SIN(G$463) / TAN($A471) ))))</f>
        <v>100.5452905895</v>
      </c>
      <c r="H471" s="210" t="n">
        <f aca="false">DEGREES( _xlfn.ACOT( _xlfn.COT(H$463)  *   SIN( ATAN(  SIN(H$463) / TAN($A471) ))))</f>
        <v>97.4354722261319</v>
      </c>
      <c r="I471" s="210" t="n">
        <f aca="false">DEGREES( _xlfn.ACOT( _xlfn.COT(I$463)  *   SIN( ATAN(  SIN(I$463) / TAN($A471) ))))</f>
        <v>93.8409657162582</v>
      </c>
      <c r="J471" s="260" t="n">
        <f aca="false">DEGREES( _xlfn.ACOT( _xlfn.COT(J$463)  *   SIN( ATAN(  SIN(J$463) / TAN($A471) ))))</f>
        <v>90</v>
      </c>
      <c r="K471" s="210" t="n">
        <f aca="false">DEGREES( _xlfn.ACOT( _xlfn.COT(K$463)  *   SIN( ATAN(  SIN(K$463) / TAN($A471) ))))</f>
        <v>86.1590342837419</v>
      </c>
      <c r="L471" s="210" t="n">
        <f aca="false">DEGREES( _xlfn.ACOT( _xlfn.COT(L$463)  *   SIN( ATAN(  SIN(L$463) / TAN($A471) ))))</f>
        <v>82.5645277738682</v>
      </c>
      <c r="M471" s="210" t="n">
        <f aca="false">DEGREES( _xlfn.ACOT( _xlfn.COT(M$463)  *   SIN( ATAN(  SIN(M$463) / TAN($A471) ))))</f>
        <v>79.4547094105004</v>
      </c>
      <c r="N471" s="210" t="n">
        <f aca="false">DEGREES( _xlfn.ACOT( _xlfn.COT(N$463)  *   SIN( ATAN(  SIN(N$463) / TAN($A471) ))))</f>
        <v>77.0474603577776</v>
      </c>
      <c r="O471" s="210" t="n">
        <f aca="false">DEGREES( _xlfn.ACOT( _xlfn.COT(O$463)  *   SIN( ATAN(  SIN(O$463) / TAN($A471) ))))</f>
        <v>75.5224878140701</v>
      </c>
      <c r="P471" s="260" t="n">
        <f aca="false">DEGREES( _xlfn.ACOT( _xlfn.COT(P$463)  *   SIN( ATAN(  SIN(P$463) / TAN($A471) ))))</f>
        <v>75</v>
      </c>
      <c r="Q471" s="210" t="n">
        <f aca="false">DEGREES( _xlfn.ACOT( _xlfn.COT(Q$463)  *   SIN( ATAN(  SIN(Q$463) / TAN($A471) ))))</f>
        <v>75.5224878140701</v>
      </c>
      <c r="R471" s="210" t="n">
        <f aca="false">DEGREES( _xlfn.ACOT( _xlfn.COT(R$463)  *   SIN( ATAN(  SIN(R$463) / TAN($A471) ))))</f>
        <v>77.0474603577776</v>
      </c>
      <c r="S471" s="210" t="n">
        <f aca="false">DEGREES( _xlfn.ACOT( _xlfn.COT(S$463)  *   SIN( ATAN(  SIN(S$463) / TAN($A471) ))))</f>
        <v>79.4547094105004</v>
      </c>
      <c r="T471" s="210" t="n">
        <f aca="false">DEGREES( _xlfn.ACOT( _xlfn.COT(T$463)  *   SIN( ATAN(  SIN(T$463) / TAN($A471) ))))</f>
        <v>82.5645277738682</v>
      </c>
      <c r="U471" s="210" t="n">
        <f aca="false">DEGREES( _xlfn.ACOT( _xlfn.COT(U$463)  *   SIN( ATAN(  SIN(U$463) / TAN($A471) ))))</f>
        <v>86.1590342837419</v>
      </c>
      <c r="V471" s="260" t="n">
        <f aca="false">DEGREES( _xlfn.ACOT( _xlfn.COT(V$463)  *   SIN( ATAN(  SIN(V$463) / TAN($A471) ))))</f>
        <v>90</v>
      </c>
      <c r="W471" s="210" t="n">
        <f aca="false">DEGREES( _xlfn.ACOT( _xlfn.COT(W$463)  *   SIN( ATAN(  SIN(W$463) / TAN($A471) ))))</f>
        <v>93.8409657162582</v>
      </c>
      <c r="X471" s="210" t="n">
        <f aca="false">DEGREES( _xlfn.ACOT( _xlfn.COT(X$463)  *   SIN( ATAN(  SIN(X$463) / TAN($A471) ))))</f>
        <v>97.4354722261319</v>
      </c>
      <c r="Y471" s="210" t="n">
        <f aca="false">DEGREES( _xlfn.ACOT( _xlfn.COT(Y$463)  *   SIN( ATAN(  SIN(Y$463) / TAN($A471) ))))</f>
        <v>100.5452905895</v>
      </c>
      <c r="Z471" s="210" t="n">
        <f aca="false">DEGREES( _xlfn.ACOT( _xlfn.COT(Z$463)  *   SIN( ATAN(  SIN(Z$463) / TAN($A471) ))))</f>
        <v>102.952539642222</v>
      </c>
      <c r="AA471" s="210" t="n">
        <f aca="false">DEGREES( _xlfn.ACOT( _xlfn.COT(AA$463)  *   SIN( ATAN(  SIN(AA$463) / TAN($A471) ))))</f>
        <v>104.47751218593</v>
      </c>
      <c r="AB471" s="260" t="n">
        <f aca="false">DEGREES( _xlfn.ACOT( _xlfn.COT(AB$463)  *   SIN( ATAN(  SIN(AB$463) / TAN($A471) ))))</f>
        <v>104.99999976617</v>
      </c>
      <c r="AC471" s="195" t="e">
        <f aca="false">DEGREES( _xlfn.ACOT( _xlfn.COT(AC$463)  *   SIN( ATAN(  SIN(AC$463) / TAN($A471) ))  * SIGN( SIN($A471))))</f>
        <v>#NUM!</v>
      </c>
      <c r="AD471" s="195" t="e">
        <f aca="false">DEGREES( _xlfn.ACOT( _xlfn.COT(AD$463)  *   SIN( ATAN(  SIN(AD$463) / TAN($A471) ))  * SIGN( SIN($A471))))</f>
        <v>#NUM!</v>
      </c>
      <c r="AE471" s="1"/>
      <c r="AF471" s="1"/>
      <c r="AG471" s="1"/>
      <c r="AH471" s="1"/>
      <c r="AI471" s="1"/>
      <c r="AJ471" s="1"/>
      <c r="AK471" s="1"/>
      <c r="AL471" s="1"/>
    </row>
    <row r="472" customFormat="false" ht="12.75" hidden="false" customHeight="true" outlineLevel="0" collapsed="false">
      <c r="A472" s="192" t="n">
        <f aca="false">RADIANS(MOD(B472-180,-360)+180)</f>
        <v>2.0943951023932</v>
      </c>
      <c r="B472" s="182" t="n">
        <v>120</v>
      </c>
      <c r="C472" s="1"/>
      <c r="D472" s="260" t="n">
        <f aca="false">DEGREES( _xlfn.ACOT( _xlfn.COT(D$463)  *   SIN( ATAN(  SIN(D$463) / TAN($A472) ))))</f>
        <v>119.999999994962</v>
      </c>
      <c r="E472" s="210" t="n">
        <f aca="false">DEGREES( _xlfn.ACOT( _xlfn.COT(E$463)  *   SIN( ATAN(  SIN(E$463) / TAN($A472) ))))</f>
        <v>118.879094017428</v>
      </c>
      <c r="F472" s="210" t="n">
        <f aca="false">DEGREES( _xlfn.ACOT( _xlfn.COT(F$463)  *   SIN( ATAN(  SIN(F$463) / TAN($A472) ))))</f>
        <v>115.658906273255</v>
      </c>
      <c r="G472" s="210" t="n">
        <f aca="false">DEGREES( _xlfn.ACOT( _xlfn.COT(G$463)  *   SIN( ATAN(  SIN(G$463) / TAN($A472) ))))</f>
        <v>110.704811054635</v>
      </c>
      <c r="H472" s="210" t="n">
        <f aca="false">DEGREES( _xlfn.ACOT( _xlfn.COT(H$463)  *   SIN( ATAN(  SIN(H$463) / TAN($A472) ))))</f>
        <v>104.47751218593</v>
      </c>
      <c r="I472" s="210" t="n">
        <f aca="false">DEGREES( _xlfn.ACOT( _xlfn.COT(I$463)  *   SIN( ATAN(  SIN(I$463) / TAN($A472) ))))</f>
        <v>97.4354722261318</v>
      </c>
      <c r="J472" s="260" t="n">
        <f aca="false">DEGREES( _xlfn.ACOT( _xlfn.COT(J$463)  *   SIN( ATAN(  SIN(J$463) / TAN($A472) ))))</f>
        <v>90</v>
      </c>
      <c r="K472" s="210" t="n">
        <f aca="false">DEGREES( _xlfn.ACOT( _xlfn.COT(K$463)  *   SIN( ATAN(  SIN(K$463) / TAN($A472) ))))</f>
        <v>82.5645277738682</v>
      </c>
      <c r="L472" s="210" t="n">
        <f aca="false">DEGREES( _xlfn.ACOT( _xlfn.COT(L$463)  *   SIN( ATAN(  SIN(L$463) / TAN($A472) ))))</f>
        <v>75.5224878140701</v>
      </c>
      <c r="M472" s="210" t="n">
        <f aca="false">DEGREES( _xlfn.ACOT( _xlfn.COT(M$463)  *   SIN( ATAN(  SIN(M$463) / TAN($A472) ))))</f>
        <v>69.2951889453646</v>
      </c>
      <c r="N472" s="210" t="n">
        <f aca="false">DEGREES( _xlfn.ACOT( _xlfn.COT(N$463)  *   SIN( ATAN(  SIN(N$463) / TAN($A472) ))))</f>
        <v>64.3410937267447</v>
      </c>
      <c r="O472" s="210" t="n">
        <f aca="false">DEGREES( _xlfn.ACOT( _xlfn.COT(O$463)  *   SIN( ATAN(  SIN(O$463) / TAN($A472) ))))</f>
        <v>61.1209059825724</v>
      </c>
      <c r="P472" s="260" t="n">
        <f aca="false">DEGREES( _xlfn.ACOT( _xlfn.COT(P$463)  *   SIN( ATAN(  SIN(P$463) / TAN($A472) ))))</f>
        <v>60</v>
      </c>
      <c r="Q472" s="210" t="n">
        <f aca="false">DEGREES( _xlfn.ACOT( _xlfn.COT(Q$463)  *   SIN( ATAN(  SIN(Q$463) / TAN($A472) ))))</f>
        <v>61.1209059825724</v>
      </c>
      <c r="R472" s="210" t="n">
        <f aca="false">DEGREES( _xlfn.ACOT( _xlfn.COT(R$463)  *   SIN( ATAN(  SIN(R$463) / TAN($A472) ))))</f>
        <v>64.3410937267447</v>
      </c>
      <c r="S472" s="210" t="n">
        <f aca="false">DEGREES( _xlfn.ACOT( _xlfn.COT(S$463)  *   SIN( ATAN(  SIN(S$463) / TAN($A472) ))))</f>
        <v>69.2951889453646</v>
      </c>
      <c r="T472" s="210" t="n">
        <f aca="false">DEGREES( _xlfn.ACOT( _xlfn.COT(T$463)  *   SIN( ATAN(  SIN(T$463) / TAN($A472) ))))</f>
        <v>75.5224878140701</v>
      </c>
      <c r="U472" s="210" t="n">
        <f aca="false">DEGREES( _xlfn.ACOT( _xlfn.COT(U$463)  *   SIN( ATAN(  SIN(U$463) / TAN($A472) ))))</f>
        <v>82.5645277738682</v>
      </c>
      <c r="V472" s="260" t="n">
        <f aca="false">DEGREES( _xlfn.ACOT( _xlfn.COT(V$463)  *   SIN( ATAN(  SIN(V$463) / TAN($A472) ))))</f>
        <v>90</v>
      </c>
      <c r="W472" s="210" t="n">
        <f aca="false">DEGREES( _xlfn.ACOT( _xlfn.COT(W$463)  *   SIN( ATAN(  SIN(W$463) / TAN($A472) ))))</f>
        <v>97.4354722261318</v>
      </c>
      <c r="X472" s="210" t="n">
        <f aca="false">DEGREES( _xlfn.ACOT( _xlfn.COT(X$463)  *   SIN( ATAN(  SIN(X$463) / TAN($A472) ))))</f>
        <v>104.47751218593</v>
      </c>
      <c r="Y472" s="210" t="n">
        <f aca="false">DEGREES( _xlfn.ACOT( _xlfn.COT(Y$463)  *   SIN( ATAN(  SIN(Y$463) / TAN($A472) ))))</f>
        <v>110.704811054635</v>
      </c>
      <c r="Z472" s="210" t="n">
        <f aca="false">DEGREES( _xlfn.ACOT( _xlfn.COT(Z$463)  *   SIN( ATAN(  SIN(Z$463) / TAN($A472) ))))</f>
        <v>115.658906273255</v>
      </c>
      <c r="AA472" s="210" t="n">
        <f aca="false">DEGREES( _xlfn.ACOT( _xlfn.COT(AA$463)  *   SIN( ATAN(  SIN(AA$463) / TAN($A472) ))))</f>
        <v>118.879094017428</v>
      </c>
      <c r="AB472" s="260" t="n">
        <f aca="false">DEGREES( _xlfn.ACOT( _xlfn.COT(AB$463)  *   SIN( ATAN(  SIN(AB$463) / TAN($A472) ))))</f>
        <v>119.999999496167</v>
      </c>
      <c r="AC472" s="195" t="e">
        <f aca="false">DEGREES( _xlfn.ACOT( _xlfn.COT(AC$463)  *   SIN( ATAN(  SIN(AC$463) / TAN($A472) ))  * SIGN( SIN($A472))))</f>
        <v>#NUM!</v>
      </c>
      <c r="AD472" s="195" t="e">
        <f aca="false">DEGREES( _xlfn.ACOT( _xlfn.COT(AD$463)  *   SIN( ATAN(  SIN(AD$463) / TAN($A472) ))  * SIGN( SIN($A472))))</f>
        <v>#NUM!</v>
      </c>
      <c r="AE472" s="1"/>
      <c r="AF472" s="1"/>
      <c r="AG472" s="1"/>
      <c r="AH472" s="1"/>
      <c r="AI472" s="1"/>
      <c r="AJ472" s="1"/>
      <c r="AK472" s="1"/>
      <c r="AL472" s="1"/>
    </row>
    <row r="473" customFormat="false" ht="12.75" hidden="false" customHeight="true" outlineLevel="0" collapsed="false">
      <c r="A473" s="192" t="n">
        <f aca="false">RADIANS(MOD(B473-180,-360)+180)</f>
        <v>2.35619449019234</v>
      </c>
      <c r="B473" s="182" t="n">
        <v>135</v>
      </c>
      <c r="C473" s="1"/>
      <c r="D473" s="260" t="n">
        <f aca="false">DEGREES( _xlfn.ACOT( _xlfn.COT(D$463)  *   SIN( ATAN(  SIN(D$463) / TAN($A473) ))))</f>
        <v>134.999999991273</v>
      </c>
      <c r="E473" s="210" t="n">
        <f aca="false">DEGREES( _xlfn.ACOT( _xlfn.COT(E$463)  *   SIN( ATAN(  SIN(E$463) / TAN($A473) ))))</f>
        <v>133.079517141871</v>
      </c>
      <c r="F473" s="210" t="n">
        <f aca="false">DEGREES( _xlfn.ACOT( _xlfn.COT(F$463)  *   SIN( ATAN(  SIN(F$463) / TAN($A473) ))))</f>
        <v>127.761243907035</v>
      </c>
      <c r="G473" s="210" t="n">
        <f aca="false">DEGREES( _xlfn.ACOT( _xlfn.COT(G$463)  *   SIN( ATAN(  SIN(G$463) / TAN($A473) ))))</f>
        <v>120</v>
      </c>
      <c r="H473" s="210" t="n">
        <f aca="false">DEGREES( _xlfn.ACOT( _xlfn.COT(H$463)  *   SIN( ATAN(  SIN(H$463) / TAN($A473) ))))</f>
        <v>110.704811054635</v>
      </c>
      <c r="I473" s="210" t="n">
        <f aca="false">DEGREES( _xlfn.ACOT( _xlfn.COT(I$463)  *   SIN( ATAN(  SIN(I$463) / TAN($A473) ))))</f>
        <v>100.5452905895</v>
      </c>
      <c r="J473" s="260" t="n">
        <f aca="false">DEGREES( _xlfn.ACOT( _xlfn.COT(J$463)  *   SIN( ATAN(  SIN(J$463) / TAN($A473) ))))</f>
        <v>90</v>
      </c>
      <c r="K473" s="210" t="n">
        <f aca="false">DEGREES( _xlfn.ACOT( _xlfn.COT(K$463)  *   SIN( ATAN(  SIN(K$463) / TAN($A473) ))))</f>
        <v>79.4547094105004</v>
      </c>
      <c r="L473" s="210" t="n">
        <f aca="false">DEGREES( _xlfn.ACOT( _xlfn.COT(L$463)  *   SIN( ATAN(  SIN(L$463) / TAN($A473) ))))</f>
        <v>69.2951889453646</v>
      </c>
      <c r="M473" s="210" t="n">
        <f aca="false">DEGREES( _xlfn.ACOT( _xlfn.COT(M$463)  *   SIN( ATAN(  SIN(M$463) / TAN($A473) ))))</f>
        <v>60</v>
      </c>
      <c r="N473" s="210" t="n">
        <f aca="false">DEGREES( _xlfn.ACOT( _xlfn.COT(N$463)  *   SIN( ATAN(  SIN(N$463) / TAN($A473) ))))</f>
        <v>52.238756092965</v>
      </c>
      <c r="O473" s="210" t="n">
        <f aca="false">DEGREES( _xlfn.ACOT( _xlfn.COT(O$463)  *   SIN( ATAN(  SIN(O$463) / TAN($A473) ))))</f>
        <v>46.9204828581291</v>
      </c>
      <c r="P473" s="260" t="n">
        <f aca="false">DEGREES( _xlfn.ACOT( _xlfn.COT(P$463)  *   SIN( ATAN(  SIN(P$463) / TAN($A473) ))))</f>
        <v>45</v>
      </c>
      <c r="Q473" s="210" t="n">
        <f aca="false">DEGREES( _xlfn.ACOT( _xlfn.COT(Q$463)  *   SIN( ATAN(  SIN(Q$463) / TAN($A473) ))))</f>
        <v>46.9204828581291</v>
      </c>
      <c r="R473" s="210" t="n">
        <f aca="false">DEGREES( _xlfn.ACOT( _xlfn.COT(R$463)  *   SIN( ATAN(  SIN(R$463) / TAN($A473) ))))</f>
        <v>52.238756092965</v>
      </c>
      <c r="S473" s="210" t="n">
        <f aca="false">DEGREES( _xlfn.ACOT( _xlfn.COT(S$463)  *   SIN( ATAN(  SIN(S$463) / TAN($A473) ))))</f>
        <v>60</v>
      </c>
      <c r="T473" s="210" t="n">
        <f aca="false">DEGREES( _xlfn.ACOT( _xlfn.COT(T$463)  *   SIN( ATAN(  SIN(T$463) / TAN($A473) ))))</f>
        <v>69.2951889453646</v>
      </c>
      <c r="U473" s="210" t="n">
        <f aca="false">DEGREES( _xlfn.ACOT( _xlfn.COT(U$463)  *   SIN( ATAN(  SIN(U$463) / TAN($A473) ))))</f>
        <v>79.4547094105004</v>
      </c>
      <c r="V473" s="260" t="n">
        <f aca="false">DEGREES( _xlfn.ACOT( _xlfn.COT(V$463)  *   SIN( ATAN(  SIN(V$463) / TAN($A473) ))))</f>
        <v>90</v>
      </c>
      <c r="W473" s="210" t="n">
        <f aca="false">DEGREES( _xlfn.ACOT( _xlfn.COT(W$463)  *   SIN( ATAN(  SIN(W$463) / TAN($A473) ))))</f>
        <v>100.5452905895</v>
      </c>
      <c r="X473" s="210" t="n">
        <f aca="false">DEGREES( _xlfn.ACOT( _xlfn.COT(X$463)  *   SIN( ATAN(  SIN(X$463) / TAN($A473) ))))</f>
        <v>110.704811054635</v>
      </c>
      <c r="Y473" s="210" t="n">
        <f aca="false">DEGREES( _xlfn.ACOT( _xlfn.COT(Y$463)  *   SIN( ATAN(  SIN(Y$463) / TAN($A473) ))))</f>
        <v>120</v>
      </c>
      <c r="Z473" s="210" t="n">
        <f aca="false">DEGREES( _xlfn.ACOT( _xlfn.COT(Z$463)  *   SIN( ATAN(  SIN(Z$463) / TAN($A473) ))))</f>
        <v>127.761243907035</v>
      </c>
      <c r="AA473" s="210" t="n">
        <f aca="false">DEGREES( _xlfn.ACOT( _xlfn.COT(AA$463)  *   SIN( ATAN(  SIN(AA$463) / TAN($A473) ))))</f>
        <v>133.079517141871</v>
      </c>
      <c r="AB473" s="260" t="n">
        <f aca="false">DEGREES( _xlfn.ACOT( _xlfn.COT(AB$463)  *   SIN( ATAN(  SIN(AB$463) / TAN($A473) ))))</f>
        <v>134.999999127335</v>
      </c>
      <c r="AC473" s="195" t="e">
        <f aca="false">DEGREES( _xlfn.ACOT( _xlfn.COT(AC$463)  *   SIN( ATAN(  SIN(AC$463) / TAN($A473) ))  * SIGN( SIN($A473))))</f>
        <v>#NUM!</v>
      </c>
      <c r="AD473" s="195" t="e">
        <f aca="false">DEGREES( _xlfn.ACOT( _xlfn.COT(AD$463)  *   SIN( ATAN(  SIN(AD$463) / TAN($A473) ))  * SIGN( SIN($A473))))</f>
        <v>#NUM!</v>
      </c>
      <c r="AE473" s="1"/>
      <c r="AF473" s="1"/>
      <c r="AG473" s="1"/>
      <c r="AH473" s="1"/>
      <c r="AI473" s="1"/>
      <c r="AJ473" s="1"/>
      <c r="AK473" s="1"/>
      <c r="AL473" s="1"/>
    </row>
    <row r="474" customFormat="false" ht="12.75" hidden="false" customHeight="true" outlineLevel="0" collapsed="false">
      <c r="A474" s="192" t="n">
        <f aca="false">RADIANS(MOD(B474-180,-360)+180)</f>
        <v>2.61799387799149</v>
      </c>
      <c r="B474" s="182" t="n">
        <v>150</v>
      </c>
      <c r="C474" s="1"/>
      <c r="D474" s="260" t="n">
        <f aca="false">DEGREES( _xlfn.ACOT( _xlfn.COT(D$463)  *   SIN( ATAN(  SIN(D$463) / TAN($A474) ))))</f>
        <v>149.999999984885</v>
      </c>
      <c r="E474" s="210" t="n">
        <f aca="false">DEGREES( _xlfn.ACOT( _xlfn.COT(E$463)  *   SIN( ATAN(  SIN(E$463) / TAN($A474) ))))</f>
        <v>146.774057796712</v>
      </c>
      <c r="F474" s="210" t="n">
        <f aca="false">DEGREES( _xlfn.ACOT( _xlfn.COT(F$463)  *   SIN( ATAN(  SIN(F$463) / TAN($A474) ))))</f>
        <v>138.590377890729</v>
      </c>
      <c r="G474" s="210" t="n">
        <f aca="false">DEGREES( _xlfn.ACOT( _xlfn.COT(G$463)  *   SIN( ATAN(  SIN(G$463) / TAN($A474) ))))</f>
        <v>127.761243907035</v>
      </c>
      <c r="H474" s="210" t="n">
        <f aca="false">DEGREES( _xlfn.ACOT( _xlfn.COT(H$463)  *   SIN( ATAN(  SIN(H$463) / TAN($A474) ))))</f>
        <v>115.658906273255</v>
      </c>
      <c r="I474" s="210" t="n">
        <f aca="false">DEGREES( _xlfn.ACOT( _xlfn.COT(I$463)  *   SIN( ATAN(  SIN(I$463) / TAN($A474) ))))</f>
        <v>102.952539642222</v>
      </c>
      <c r="J474" s="260" t="n">
        <f aca="false">DEGREES( _xlfn.ACOT( _xlfn.COT(J$463)  *   SIN( ATAN(  SIN(J$463) / TAN($A474) ))))</f>
        <v>90</v>
      </c>
      <c r="K474" s="210" t="n">
        <f aca="false">DEGREES( _xlfn.ACOT( _xlfn.COT(K$463)  *   SIN( ATAN(  SIN(K$463) / TAN($A474) ))))</f>
        <v>77.0474603577776</v>
      </c>
      <c r="L474" s="210" t="n">
        <f aca="false">DEGREES( _xlfn.ACOT( _xlfn.COT(L$463)  *   SIN( ATAN(  SIN(L$463) / TAN($A474) ))))</f>
        <v>64.3410937267447</v>
      </c>
      <c r="M474" s="210" t="n">
        <f aca="false">DEGREES( _xlfn.ACOT( _xlfn.COT(M$463)  *   SIN( ATAN(  SIN(M$463) / TAN($A474) ))))</f>
        <v>52.238756092965</v>
      </c>
      <c r="N474" s="210" t="n">
        <f aca="false">DEGREES( _xlfn.ACOT( _xlfn.COT(N$463)  *   SIN( ATAN(  SIN(N$463) / TAN($A474) ))))</f>
        <v>41.4096221092709</v>
      </c>
      <c r="O474" s="210" t="n">
        <f aca="false">DEGREES( _xlfn.ACOT( _xlfn.COT(O$463)  *   SIN( ATAN(  SIN(O$463) / TAN($A474) ))))</f>
        <v>33.2259422032876</v>
      </c>
      <c r="P474" s="260" t="n">
        <f aca="false">DEGREES( _xlfn.ACOT( _xlfn.COT(P$463)  *   SIN( ATAN(  SIN(P$463) / TAN($A474) ))))</f>
        <v>30</v>
      </c>
      <c r="Q474" s="210" t="n">
        <f aca="false">DEGREES( _xlfn.ACOT( _xlfn.COT(Q$463)  *   SIN( ATAN(  SIN(Q$463) / TAN($A474) ))))</f>
        <v>33.2259422032876</v>
      </c>
      <c r="R474" s="210" t="n">
        <f aca="false">DEGREES( _xlfn.ACOT( _xlfn.COT(R$463)  *   SIN( ATAN(  SIN(R$463) / TAN($A474) ))))</f>
        <v>41.4096221092709</v>
      </c>
      <c r="S474" s="210" t="n">
        <f aca="false">DEGREES( _xlfn.ACOT( _xlfn.COT(S$463)  *   SIN( ATAN(  SIN(S$463) / TAN($A474) ))))</f>
        <v>52.238756092965</v>
      </c>
      <c r="T474" s="210" t="n">
        <f aca="false">DEGREES( _xlfn.ACOT( _xlfn.COT(T$463)  *   SIN( ATAN(  SIN(T$463) / TAN($A474) ))))</f>
        <v>64.3410937267447</v>
      </c>
      <c r="U474" s="210" t="n">
        <f aca="false">DEGREES( _xlfn.ACOT( _xlfn.COT(U$463)  *   SIN( ATAN(  SIN(U$463) / TAN($A474) ))))</f>
        <v>77.0474603577776</v>
      </c>
      <c r="V474" s="260" t="n">
        <f aca="false">DEGREES( _xlfn.ACOT( _xlfn.COT(V$463)  *   SIN( ATAN(  SIN(V$463) / TAN($A474) ))))</f>
        <v>90</v>
      </c>
      <c r="W474" s="210" t="n">
        <f aca="false">DEGREES( _xlfn.ACOT( _xlfn.COT(W$463)  *   SIN( ATAN(  SIN(W$463) / TAN($A474) ))))</f>
        <v>102.952539642222</v>
      </c>
      <c r="X474" s="210" t="n">
        <f aca="false">DEGREES( _xlfn.ACOT( _xlfn.COT(X$463)  *   SIN( ATAN(  SIN(X$463) / TAN($A474) ))))</f>
        <v>115.658906273255</v>
      </c>
      <c r="Y474" s="210" t="n">
        <f aca="false">DEGREES( _xlfn.ACOT( _xlfn.COT(Y$463)  *   SIN( ATAN(  SIN(Y$463) / TAN($A474) ))))</f>
        <v>127.761243907035</v>
      </c>
      <c r="Z474" s="210" t="n">
        <f aca="false">DEGREES( _xlfn.ACOT( _xlfn.COT(Z$463)  *   SIN( ATAN(  SIN(Z$463) / TAN($A474) ))))</f>
        <v>138.590377890729</v>
      </c>
      <c r="AA474" s="210" t="n">
        <f aca="false">DEGREES( _xlfn.ACOT( _xlfn.COT(AA$463)  *   SIN( ATAN(  SIN(AA$463) / TAN($A474) ))))</f>
        <v>146.774057796712</v>
      </c>
      <c r="AB474" s="260" t="n">
        <f aca="false">DEGREES( _xlfn.ACOT( _xlfn.COT(AB$463)  *   SIN( ATAN(  SIN(AB$463) / TAN($A474) ))))</f>
        <v>149.999998488501</v>
      </c>
      <c r="AC474" s="195" t="e">
        <f aca="false">DEGREES( _xlfn.ACOT( _xlfn.COT(AC$463)  *   SIN( ATAN(  SIN(AC$463) / TAN($A474) ))  * SIGN( SIN($A474))))</f>
        <v>#NUM!</v>
      </c>
      <c r="AD474" s="195" t="e">
        <f aca="false">DEGREES( _xlfn.ACOT( _xlfn.COT(AD$463)  *   SIN( ATAN(  SIN(AD$463) / TAN($A474) ))  * SIGN( SIN($A474))))</f>
        <v>#NUM!</v>
      </c>
      <c r="AE474" s="1"/>
      <c r="AF474" s="1"/>
      <c r="AG474" s="1"/>
      <c r="AH474" s="1"/>
      <c r="AI474" s="1"/>
      <c r="AJ474" s="1"/>
      <c r="AK474" s="1"/>
      <c r="AL474" s="1"/>
    </row>
    <row r="475" customFormat="false" ht="12.75" hidden="false" customHeight="true" outlineLevel="0" collapsed="false">
      <c r="A475" s="192" t="n">
        <f aca="false">RADIANS(MOD(B475-180,-360)+180)</f>
        <v>2.87979326579064</v>
      </c>
      <c r="B475" s="182" t="n">
        <v>165</v>
      </c>
      <c r="C475" s="1"/>
      <c r="D475" s="260" t="n">
        <f aca="false">DEGREES( _xlfn.ACOT( _xlfn.COT(D$463)  *   SIN( ATAN(  SIN(D$463) / TAN($A475) ))))</f>
        <v>164.999999967432</v>
      </c>
      <c r="E475" s="210" t="n">
        <f aca="false">DEGREES( _xlfn.ACOT( _xlfn.COT(E$463)  *   SIN( ATAN(  SIN(E$463) / TAN($A475) ))))</f>
        <v>158.909418821001</v>
      </c>
      <c r="F475" s="210" t="n">
        <f aca="false">DEGREES( _xlfn.ACOT( _xlfn.COT(F$463)  *   SIN( ATAN(  SIN(F$463) / TAN($A475) ))))</f>
        <v>146.774057796712</v>
      </c>
      <c r="G475" s="210" t="n">
        <f aca="false">DEGREES( _xlfn.ACOT( _xlfn.COT(G$463)  *   SIN( ATAN(  SIN(G$463) / TAN($A475) ))))</f>
        <v>133.079517141871</v>
      </c>
      <c r="H475" s="210" t="n">
        <f aca="false">DEGREES( _xlfn.ACOT( _xlfn.COT(H$463)  *   SIN( ATAN(  SIN(H$463) / TAN($A475) ))))</f>
        <v>118.879094017428</v>
      </c>
      <c r="I475" s="210" t="n">
        <f aca="false">DEGREES( _xlfn.ACOT( _xlfn.COT(I$463)  *   SIN( ATAN(  SIN(I$463) / TAN($A475) ))))</f>
        <v>104.47751218593</v>
      </c>
      <c r="J475" s="260" t="n">
        <f aca="false">DEGREES( _xlfn.ACOT( _xlfn.COT(J$463)  *   SIN( ATAN(  SIN(J$463) / TAN($A475) ))))</f>
        <v>90</v>
      </c>
      <c r="K475" s="210" t="n">
        <f aca="false">DEGREES( _xlfn.ACOT( _xlfn.COT(K$463)  *   SIN( ATAN(  SIN(K$463) / TAN($A475) ))))</f>
        <v>75.5224878140701</v>
      </c>
      <c r="L475" s="210" t="n">
        <f aca="false">DEGREES( _xlfn.ACOT( _xlfn.COT(L$463)  *   SIN( ATAN(  SIN(L$463) / TAN($A475) ))))</f>
        <v>61.1209059825724</v>
      </c>
      <c r="M475" s="210" t="n">
        <f aca="false">DEGREES( _xlfn.ACOT( _xlfn.COT(M$463)  *   SIN( ATAN(  SIN(M$463) / TAN($A475) ))))</f>
        <v>46.9204828581291</v>
      </c>
      <c r="N475" s="210" t="n">
        <f aca="false">DEGREES( _xlfn.ACOT( _xlfn.COT(N$463)  *   SIN( ATAN(  SIN(N$463) / TAN($A475) ))))</f>
        <v>33.2259422032876</v>
      </c>
      <c r="O475" s="210" t="n">
        <f aca="false">DEGREES( _xlfn.ACOT( _xlfn.COT(O$463)  *   SIN( ATAN(  SIN(O$463) / TAN($A475) ))))</f>
        <v>21.0905811789991</v>
      </c>
      <c r="P475" s="260" t="n">
        <f aca="false">DEGREES( _xlfn.ACOT( _xlfn.COT(P$463)  *   SIN( ATAN(  SIN(P$463) / TAN($A475) ))))</f>
        <v>15</v>
      </c>
      <c r="Q475" s="210" t="n">
        <f aca="false">DEGREES( _xlfn.ACOT( _xlfn.COT(Q$463)  *   SIN( ATAN(  SIN(Q$463) / TAN($A475) ))))</f>
        <v>21.0905811789991</v>
      </c>
      <c r="R475" s="210" t="n">
        <f aca="false">DEGREES( _xlfn.ACOT( _xlfn.COT(R$463)  *   SIN( ATAN(  SIN(R$463) / TAN($A475) ))))</f>
        <v>33.2259422032876</v>
      </c>
      <c r="S475" s="210" t="n">
        <f aca="false">DEGREES( _xlfn.ACOT( _xlfn.COT(S$463)  *   SIN( ATAN(  SIN(S$463) / TAN($A475) ))))</f>
        <v>46.9204828581291</v>
      </c>
      <c r="T475" s="210" t="n">
        <f aca="false">DEGREES( _xlfn.ACOT( _xlfn.COT(T$463)  *   SIN( ATAN(  SIN(T$463) / TAN($A475) ))))</f>
        <v>61.1209059825724</v>
      </c>
      <c r="U475" s="210" t="n">
        <f aca="false">DEGREES( _xlfn.ACOT( _xlfn.COT(U$463)  *   SIN( ATAN(  SIN(U$463) / TAN($A475) ))))</f>
        <v>75.5224878140701</v>
      </c>
      <c r="V475" s="260" t="n">
        <f aca="false">DEGREES( _xlfn.ACOT( _xlfn.COT(V$463)  *   SIN( ATAN(  SIN(V$463) / TAN($A475) ))))</f>
        <v>90</v>
      </c>
      <c r="W475" s="210" t="n">
        <f aca="false">DEGREES( _xlfn.ACOT( _xlfn.COT(W$463)  *   SIN( ATAN(  SIN(W$463) / TAN($A475) ))))</f>
        <v>104.47751218593</v>
      </c>
      <c r="X475" s="210" t="n">
        <f aca="false">DEGREES( _xlfn.ACOT( _xlfn.COT(X$463)  *   SIN( ATAN(  SIN(X$463) / TAN($A475) ))))</f>
        <v>118.879094017428</v>
      </c>
      <c r="Y475" s="210" t="n">
        <f aca="false">DEGREES( _xlfn.ACOT( _xlfn.COT(Y$463)  *   SIN( ATAN(  SIN(Y$463) / TAN($A475) ))))</f>
        <v>133.079517141871</v>
      </c>
      <c r="Z475" s="210" t="n">
        <f aca="false">DEGREES( _xlfn.ACOT( _xlfn.COT(Z$463)  *   SIN( ATAN(  SIN(Z$463) / TAN($A475) ))))</f>
        <v>146.774057796712</v>
      </c>
      <c r="AA475" s="210" t="n">
        <f aca="false">DEGREES( _xlfn.ACOT( _xlfn.COT(AA$463)  *   SIN( ATAN(  SIN(AA$463) / TAN($A475) ))))</f>
        <v>158.909418821001</v>
      </c>
      <c r="AB475" s="260" t="n">
        <f aca="false">DEGREES( _xlfn.ACOT( _xlfn.COT(AB$463)  *   SIN( ATAN(  SIN(AB$463) / TAN($A475) ))))</f>
        <v>164.999996743172</v>
      </c>
      <c r="AC475" s="195" t="e">
        <f aca="false">DEGREES( _xlfn.ACOT( _xlfn.COT(AC$463)  *   SIN( ATAN(  SIN(AC$463) / TAN($A475) ))  * SIGN( SIN($A475))))</f>
        <v>#NUM!</v>
      </c>
      <c r="AD475" s="195" t="e">
        <f aca="false">DEGREES( _xlfn.ACOT( _xlfn.COT(AD$463)  *   SIN( ATAN(  SIN(AD$463) / TAN($A475) ))  * SIGN( SIN($A475))))</f>
        <v>#NUM!</v>
      </c>
      <c r="AE475" s="1"/>
      <c r="AF475" s="1"/>
      <c r="AG475" s="1"/>
      <c r="AH475" s="1"/>
      <c r="AI475" s="1"/>
      <c r="AJ475" s="1"/>
      <c r="AK475" s="1"/>
      <c r="AL475" s="1"/>
    </row>
    <row r="476" customFormat="false" ht="12.75" hidden="false" customHeight="true" outlineLevel="0" collapsed="false">
      <c r="A476" s="192" t="n">
        <f aca="false">RADIANS(MOD(B476-180,-360)+180)</f>
        <v>3.14159265358979</v>
      </c>
      <c r="B476" s="182" t="n">
        <v>180</v>
      </c>
      <c r="C476" s="1"/>
      <c r="D476" s="260" t="n">
        <f aca="false">DEGREES( _xlfn.ACOT( _xlfn.COT(D$463)  *   SIN( ATAN(  SIN(D$463) / TAN($A476) ))))</f>
        <v>179.999</v>
      </c>
      <c r="E476" s="260" t="n">
        <f aca="false">DEGREES( _xlfn.ACOT( _xlfn.COT(E$463)  *   SIN( ATAN(  SIN(E$463) / TAN($A476) ))))</f>
        <v>165</v>
      </c>
      <c r="F476" s="260" t="n">
        <f aca="false">DEGREES( _xlfn.ACOT( _xlfn.COT(F$463)  *   SIN( ATAN(  SIN(F$463) / TAN($A476) ))))</f>
        <v>150</v>
      </c>
      <c r="G476" s="260" t="n">
        <f aca="false">DEGREES( _xlfn.ACOT( _xlfn.COT(G$463)  *   SIN( ATAN(  SIN(G$463) / TAN($A476) ))))</f>
        <v>135</v>
      </c>
      <c r="H476" s="260" t="n">
        <f aca="false">DEGREES( _xlfn.ACOT( _xlfn.COT(H$463)  *   SIN( ATAN(  SIN(H$463) / TAN($A476) ))))</f>
        <v>120</v>
      </c>
      <c r="I476" s="260" t="n">
        <f aca="false">DEGREES( _xlfn.ACOT( _xlfn.COT(I$463)  *   SIN( ATAN(  SIN(I$463) / TAN($A476) ))))</f>
        <v>105</v>
      </c>
      <c r="J476" s="260" t="n">
        <f aca="false">DEGREES( _xlfn.ACOT( _xlfn.COT(J$463)  *   SIN( ATAN(  SIN(J$463) / TAN($A476) ))))</f>
        <v>90</v>
      </c>
      <c r="K476" s="260" t="n">
        <f aca="false">DEGREES( _xlfn.ACOT( _xlfn.COT(K$463)  *   SIN( ATAN(  SIN(K$463) / TAN($A476) ))))</f>
        <v>75</v>
      </c>
      <c r="L476" s="260" t="n">
        <f aca="false">DEGREES( _xlfn.ACOT( _xlfn.COT(L$463)  *   SIN( ATAN(  SIN(L$463) / TAN($A476) ))))</f>
        <v>60</v>
      </c>
      <c r="M476" s="260" t="n">
        <f aca="false">DEGREES( _xlfn.ACOT( _xlfn.COT(M$463)  *   SIN( ATAN(  SIN(M$463) / TAN($A476) ))))</f>
        <v>45</v>
      </c>
      <c r="N476" s="260" t="n">
        <f aca="false">DEGREES( _xlfn.ACOT( _xlfn.COT(N$463)  *   SIN( ATAN(  SIN(N$463) / TAN($A476) ))))</f>
        <v>30</v>
      </c>
      <c r="O476" s="260" t="n">
        <f aca="false">DEGREES( _xlfn.ACOT( _xlfn.COT(O$463)  *   SIN( ATAN(  SIN(O$463) / TAN($A476) ))))</f>
        <v>15</v>
      </c>
      <c r="P476" s="260" t="n">
        <f aca="false">DEGREES( _xlfn.ACOT( _xlfn.COT(P$463)  *   SIN( ATAN(  SIN(P$463) / TAN($A476) ))))</f>
        <v>1.27222187258541E-014</v>
      </c>
      <c r="Q476" s="260" t="n">
        <f aca="false">DEGREES( _xlfn.ACOT( _xlfn.COT(Q$463)  *   SIN( ATAN(  SIN(Q$463) / TAN($A476) ))))</f>
        <v>15</v>
      </c>
      <c r="R476" s="260" t="n">
        <f aca="false">DEGREES( _xlfn.ACOT( _xlfn.COT(R$463)  *   SIN( ATAN(  SIN(R$463) / TAN($A476) ))))</f>
        <v>30</v>
      </c>
      <c r="S476" s="260" t="n">
        <f aca="false">DEGREES( _xlfn.ACOT( _xlfn.COT(S$463)  *   SIN( ATAN(  SIN(S$463) / TAN($A476) ))))</f>
        <v>45</v>
      </c>
      <c r="T476" s="260" t="n">
        <f aca="false">DEGREES( _xlfn.ACOT( _xlfn.COT(T$463)  *   SIN( ATAN(  SIN(T$463) / TAN($A476) ))))</f>
        <v>60</v>
      </c>
      <c r="U476" s="260" t="n">
        <f aca="false">DEGREES( _xlfn.ACOT( _xlfn.COT(U$463)  *   SIN( ATAN(  SIN(U$463) / TAN($A476) ))))</f>
        <v>75</v>
      </c>
      <c r="V476" s="260" t="n">
        <f aca="false">DEGREES( _xlfn.ACOT( _xlfn.COT(V$463)  *   SIN( ATAN(  SIN(V$463) / TAN($A476) ))))</f>
        <v>90</v>
      </c>
      <c r="W476" s="260" t="n">
        <f aca="false">DEGREES( _xlfn.ACOT( _xlfn.COT(W$463)  *   SIN( ATAN(  SIN(W$463) / TAN($A476) ))))</f>
        <v>105</v>
      </c>
      <c r="X476" s="260" t="n">
        <f aca="false">DEGREES( _xlfn.ACOT( _xlfn.COT(X$463)  *   SIN( ATAN(  SIN(X$463) / TAN($A476) ))))</f>
        <v>120</v>
      </c>
      <c r="Y476" s="260" t="n">
        <f aca="false">DEGREES( _xlfn.ACOT( _xlfn.COT(Y$463)  *   SIN( ATAN(  SIN(Y$463) / TAN($A476) ))))</f>
        <v>135</v>
      </c>
      <c r="Z476" s="260" t="n">
        <f aca="false">DEGREES( _xlfn.ACOT( _xlfn.COT(Z$463)  *   SIN( ATAN(  SIN(Z$463) / TAN($A476) ))))</f>
        <v>150</v>
      </c>
      <c r="AA476" s="260" t="n">
        <f aca="false">DEGREES( _xlfn.ACOT( _xlfn.COT(AA$463)  *   SIN( ATAN(  SIN(AA$463) / TAN($A476) ))))</f>
        <v>165</v>
      </c>
      <c r="AB476" s="260" t="n">
        <f aca="false">DEGREES( _xlfn.ACOT( _xlfn.COT(AB$463)  *   SIN( ATAN(  SIN(AB$463) / TAN($A476) ))))</f>
        <v>179.99</v>
      </c>
      <c r="AC476" s="195" t="e">
        <f aca="false">DEGREES( _xlfn.ACOT( _xlfn.COT(AC$463)  *   SIN( ATAN(  SIN(AC$463) / TAN($A476) ))  * SIGN( SIN($A476))))</f>
        <v>#NUM!</v>
      </c>
      <c r="AD476" s="195" t="e">
        <f aca="false">DEGREES( _xlfn.ACOT( _xlfn.COT(AD$463)  *   SIN( ATAN(  SIN(AD$463) / TAN($A476) ))  * SIGN( SIN($A476))))</f>
        <v>#NUM!</v>
      </c>
      <c r="AE476" s="1"/>
      <c r="AF476" s="1"/>
      <c r="AG476" s="1"/>
      <c r="AH476" s="1"/>
      <c r="AI476" s="1"/>
      <c r="AJ476" s="1"/>
      <c r="AK476" s="1"/>
      <c r="AL476" s="1"/>
    </row>
    <row r="477" customFormat="false" ht="12.75" hidden="false" customHeight="true" outlineLevel="0" collapsed="false">
      <c r="A477" s="193" t="n">
        <f aca="false">RADIANS(MOD(B477-180,-360)+180)</f>
        <v>-2.87979326579064</v>
      </c>
      <c r="B477" s="182" t="n">
        <v>195</v>
      </c>
      <c r="C477" s="1"/>
      <c r="D477" s="260" t="n">
        <f aca="false">DEGREES( _xlfn.ACOT( _xlfn.COT(D$463)  *   SIN( ATAN(  SIN(D$463) / TAN($A477) ))  * SIGN( SIN($A477))))</f>
        <v>164.999999967432</v>
      </c>
      <c r="E477" s="249" t="n">
        <f aca="false">DEGREES( _xlfn.ACOT( _xlfn.COT(E$463)  *   SIN( ATAN(  SIN(E$463) / TAN($A477) ))  * SIGN( SIN($A477))))</f>
        <v>158.909418821001</v>
      </c>
      <c r="F477" s="249" t="n">
        <f aca="false">DEGREES( _xlfn.ACOT( _xlfn.COT(F$463)  *   SIN( ATAN(  SIN(F$463) / TAN($A477) ))  * SIGN( SIN($A477))))</f>
        <v>146.774057796712</v>
      </c>
      <c r="G477" s="249" t="n">
        <f aca="false">DEGREES( _xlfn.ACOT( _xlfn.COT(G$463)  *   SIN( ATAN(  SIN(G$463) / TAN($A477) ))  * SIGN( SIN($A477))))</f>
        <v>133.079517141871</v>
      </c>
      <c r="H477" s="249" t="n">
        <f aca="false">DEGREES( _xlfn.ACOT( _xlfn.COT(H$463)  *   SIN( ATAN(  SIN(H$463) / TAN($A477) ))  * SIGN( SIN($A477))))</f>
        <v>118.879094017428</v>
      </c>
      <c r="I477" s="249" t="n">
        <f aca="false">DEGREES( _xlfn.ACOT( _xlfn.COT(I$463)  *   SIN( ATAN(  SIN(I$463) / TAN($A477) ))  * SIGN( SIN($A477))))</f>
        <v>104.47751218593</v>
      </c>
      <c r="J477" s="260" t="n">
        <f aca="false">DEGREES( _xlfn.ACOT( _xlfn.COT(J$463)  *   SIN( ATAN(  SIN(J$463) / TAN($A477) ))  * SIGN( SIN($A477))))</f>
        <v>90</v>
      </c>
      <c r="K477" s="249" t="n">
        <f aca="false">DEGREES( _xlfn.ACOT( _xlfn.COT(K$463)  *   SIN( ATAN(  SIN(K$463) / TAN($A477) ))  * SIGN( SIN($A477))))</f>
        <v>75.5224878140701</v>
      </c>
      <c r="L477" s="249" t="n">
        <f aca="false">DEGREES( _xlfn.ACOT( _xlfn.COT(L$463)  *   SIN( ATAN(  SIN(L$463) / TAN($A477) ))  * SIGN( SIN($A477))))</f>
        <v>61.1209059825724</v>
      </c>
      <c r="M477" s="249" t="n">
        <f aca="false">DEGREES( _xlfn.ACOT( _xlfn.COT(M$463)  *   SIN( ATAN(  SIN(M$463) / TAN($A477) ))  * SIGN( SIN($A477))))</f>
        <v>46.9204828581291</v>
      </c>
      <c r="N477" s="249" t="n">
        <f aca="false">DEGREES( _xlfn.ACOT( _xlfn.COT(N$463)  *   SIN( ATAN(  SIN(N$463) / TAN($A477) ))  * SIGN( SIN($A477))))</f>
        <v>33.2259422032876</v>
      </c>
      <c r="O477" s="249" t="n">
        <f aca="false">DEGREES( _xlfn.ACOT( _xlfn.COT(O$463)  *   SIN( ATAN(  SIN(O$463) / TAN($A477) ))  * SIGN( SIN($A477))))</f>
        <v>21.0905811789991</v>
      </c>
      <c r="P477" s="260" t="n">
        <f aca="false">DEGREES( _xlfn.ACOT( _xlfn.COT(P$463)  *   SIN( ATAN(  SIN(P$463) / TAN($A477) ))  * SIGN( SIN($A477))))</f>
        <v>15</v>
      </c>
      <c r="Q477" s="249" t="n">
        <f aca="false">DEGREES( _xlfn.ACOT( _xlfn.COT(Q$463)  *   SIN( ATAN(  SIN(Q$463) / TAN($A477) ))  * SIGN( SIN($A477))))</f>
        <v>21.0905811789991</v>
      </c>
      <c r="R477" s="249" t="n">
        <f aca="false">DEGREES( _xlfn.ACOT( _xlfn.COT(R$463)  *   SIN( ATAN(  SIN(R$463) / TAN($A477) ))  * SIGN( SIN($A477))))</f>
        <v>33.2259422032876</v>
      </c>
      <c r="S477" s="249" t="n">
        <f aca="false">DEGREES( _xlfn.ACOT( _xlfn.COT(S$463)  *   SIN( ATAN(  SIN(S$463) / TAN($A477) ))  * SIGN( SIN($A477))))</f>
        <v>46.9204828581291</v>
      </c>
      <c r="T477" s="249" t="n">
        <f aca="false">DEGREES( _xlfn.ACOT( _xlfn.COT(T$463)  *   SIN( ATAN(  SIN(T$463) / TAN($A477) ))  * SIGN( SIN($A477))))</f>
        <v>61.1209059825724</v>
      </c>
      <c r="U477" s="249" t="n">
        <f aca="false">DEGREES( _xlfn.ACOT( _xlfn.COT(U$463)  *   SIN( ATAN(  SIN(U$463) / TAN($A477) ))  * SIGN( SIN($A477))))</f>
        <v>75.5224878140701</v>
      </c>
      <c r="V477" s="260" t="n">
        <f aca="false">DEGREES( _xlfn.ACOT( _xlfn.COT(V$463)  *   SIN( ATAN(  SIN(V$463) / TAN($A477) ))  * SIGN( SIN($A477))))</f>
        <v>90</v>
      </c>
      <c r="W477" s="249" t="n">
        <f aca="false">DEGREES( _xlfn.ACOT( _xlfn.COT(W$463)  *   SIN( ATAN(  SIN(W$463) / TAN($A477) ))  * SIGN( SIN($A477))))</f>
        <v>104.47751218593</v>
      </c>
      <c r="X477" s="249" t="n">
        <f aca="false">DEGREES( _xlfn.ACOT( _xlfn.COT(X$463)  *   SIN( ATAN(  SIN(X$463) / TAN($A477) ))  * SIGN( SIN($A477))))</f>
        <v>118.879094017428</v>
      </c>
      <c r="Y477" s="249" t="n">
        <f aca="false">DEGREES( _xlfn.ACOT( _xlfn.COT(Y$463)  *   SIN( ATAN(  SIN(Y$463) / TAN($A477) ))  * SIGN( SIN($A477))))</f>
        <v>133.079517141871</v>
      </c>
      <c r="Z477" s="249" t="n">
        <f aca="false">DEGREES( _xlfn.ACOT( _xlfn.COT(Z$463)  *   SIN( ATAN(  SIN(Z$463) / TAN($A477) ))  * SIGN( SIN($A477))))</f>
        <v>146.774057796712</v>
      </c>
      <c r="AA477" s="249" t="n">
        <f aca="false">DEGREES( _xlfn.ACOT( _xlfn.COT(AA$463)  *   SIN( ATAN(  SIN(AA$463) / TAN($A477) ))  * SIGN( SIN($A477))))</f>
        <v>158.909418821001</v>
      </c>
      <c r="AB477" s="260" t="n">
        <f aca="false">DEGREES( _xlfn.ACOT( _xlfn.COT(AB$463)  *   SIN( ATAN(  SIN(AB$463) / TAN($A477) ))  * SIGN( SIN($A477))))</f>
        <v>164.999996743172</v>
      </c>
      <c r="AC477" s="195" t="e">
        <f aca="false">DEGREES( _xlfn.ACOT( _xlfn.COT(AC$463)  *   SIN( ATAN(  SIN(AC$463) / TAN($A477) ))  * SIGN( SIN($A477))))</f>
        <v>#NUM!</v>
      </c>
      <c r="AD477" s="195" t="e">
        <f aca="false">DEGREES( _xlfn.ACOT( _xlfn.COT(AD$463)  *   SIN( ATAN(  SIN(AD$463) / TAN($A477) ))  * SIGN( SIN($A477))))</f>
        <v>#NUM!</v>
      </c>
      <c r="AE477" s="1"/>
      <c r="AF477" s="1"/>
      <c r="AG477" s="1"/>
      <c r="AH477" s="1"/>
      <c r="AI477" s="1"/>
      <c r="AJ477" s="1"/>
      <c r="AK477" s="1"/>
      <c r="AL477" s="1"/>
    </row>
    <row r="478" customFormat="false" ht="12.75" hidden="false" customHeight="true" outlineLevel="0" collapsed="false">
      <c r="A478" s="193" t="n">
        <f aca="false">RADIANS(MOD(B478-180,-360)+180)</f>
        <v>-2.61799387799149</v>
      </c>
      <c r="B478" s="182" t="n">
        <v>210</v>
      </c>
      <c r="C478" s="1"/>
      <c r="D478" s="260" t="n">
        <f aca="false">DEGREES( _xlfn.ACOT( _xlfn.COT(D$463)  *   SIN( ATAN(  SIN(D$463) / TAN($A478) ))  * SIGN( SIN($A478))))</f>
        <v>149.999999984885</v>
      </c>
      <c r="E478" s="249" t="n">
        <f aca="false">DEGREES( _xlfn.ACOT( _xlfn.COT(E$463)  *   SIN( ATAN(  SIN(E$463) / TAN($A478) ))  * SIGN( SIN($A478))))</f>
        <v>146.774057796712</v>
      </c>
      <c r="F478" s="249" t="n">
        <f aca="false">DEGREES( _xlfn.ACOT( _xlfn.COT(F$463)  *   SIN( ATAN(  SIN(F$463) / TAN($A478) ))  * SIGN( SIN($A478))))</f>
        <v>138.590377890729</v>
      </c>
      <c r="G478" s="249" t="n">
        <f aca="false">DEGREES( _xlfn.ACOT( _xlfn.COT(G$463)  *   SIN( ATAN(  SIN(G$463) / TAN($A478) ))  * SIGN( SIN($A478))))</f>
        <v>127.761243907035</v>
      </c>
      <c r="H478" s="249" t="n">
        <f aca="false">DEGREES( _xlfn.ACOT( _xlfn.COT(H$463)  *   SIN( ATAN(  SIN(H$463) / TAN($A478) ))  * SIGN( SIN($A478))))</f>
        <v>115.658906273255</v>
      </c>
      <c r="I478" s="249" t="n">
        <f aca="false">DEGREES( _xlfn.ACOT( _xlfn.COT(I$463)  *   SIN( ATAN(  SIN(I$463) / TAN($A478) ))  * SIGN( SIN($A478))))</f>
        <v>102.952539642222</v>
      </c>
      <c r="J478" s="260" t="n">
        <f aca="false">DEGREES( _xlfn.ACOT( _xlfn.COT(J$463)  *   SIN( ATAN(  SIN(J$463) / TAN($A478) ))  * SIGN( SIN($A478))))</f>
        <v>90</v>
      </c>
      <c r="K478" s="249" t="n">
        <f aca="false">DEGREES( _xlfn.ACOT( _xlfn.COT(K$463)  *   SIN( ATAN(  SIN(K$463) / TAN($A478) ))  * SIGN( SIN($A478))))</f>
        <v>77.0474603577776</v>
      </c>
      <c r="L478" s="249" t="n">
        <f aca="false">DEGREES( _xlfn.ACOT( _xlfn.COT(L$463)  *   SIN( ATAN(  SIN(L$463) / TAN($A478) ))  * SIGN( SIN($A478))))</f>
        <v>64.3410937267447</v>
      </c>
      <c r="M478" s="249" t="n">
        <f aca="false">DEGREES( _xlfn.ACOT( _xlfn.COT(M$463)  *   SIN( ATAN(  SIN(M$463) / TAN($A478) ))  * SIGN( SIN($A478))))</f>
        <v>52.238756092965</v>
      </c>
      <c r="N478" s="249" t="n">
        <f aca="false">DEGREES( _xlfn.ACOT( _xlfn.COT(N$463)  *   SIN( ATAN(  SIN(N$463) / TAN($A478) ))  * SIGN( SIN($A478))))</f>
        <v>41.4096221092709</v>
      </c>
      <c r="O478" s="249" t="n">
        <f aca="false">DEGREES( _xlfn.ACOT( _xlfn.COT(O$463)  *   SIN( ATAN(  SIN(O$463) / TAN($A478) ))  * SIGN( SIN($A478))))</f>
        <v>33.2259422032876</v>
      </c>
      <c r="P478" s="260" t="n">
        <f aca="false">DEGREES( _xlfn.ACOT( _xlfn.COT(P$463)  *   SIN( ATAN(  SIN(P$463) / TAN($A478) ))  * SIGN( SIN($A478))))</f>
        <v>30</v>
      </c>
      <c r="Q478" s="249" t="n">
        <f aca="false">DEGREES( _xlfn.ACOT( _xlfn.COT(Q$463)  *   SIN( ATAN(  SIN(Q$463) / TAN($A478) ))  * SIGN( SIN($A478))))</f>
        <v>33.2259422032876</v>
      </c>
      <c r="R478" s="249" t="n">
        <f aca="false">DEGREES( _xlfn.ACOT( _xlfn.COT(R$463)  *   SIN( ATAN(  SIN(R$463) / TAN($A478) ))  * SIGN( SIN($A478))))</f>
        <v>41.4096221092709</v>
      </c>
      <c r="S478" s="249" t="n">
        <f aca="false">DEGREES( _xlfn.ACOT( _xlfn.COT(S$463)  *   SIN( ATAN(  SIN(S$463) / TAN($A478) ))  * SIGN( SIN($A478))))</f>
        <v>52.238756092965</v>
      </c>
      <c r="T478" s="249" t="n">
        <f aca="false">DEGREES( _xlfn.ACOT( _xlfn.COT(T$463)  *   SIN( ATAN(  SIN(T$463) / TAN($A478) ))  * SIGN( SIN($A478))))</f>
        <v>64.3410937267447</v>
      </c>
      <c r="U478" s="249" t="n">
        <f aca="false">DEGREES( _xlfn.ACOT( _xlfn.COT(U$463)  *   SIN( ATAN(  SIN(U$463) / TAN($A478) ))  * SIGN( SIN($A478))))</f>
        <v>77.0474603577776</v>
      </c>
      <c r="V478" s="260" t="n">
        <f aca="false">DEGREES( _xlfn.ACOT( _xlfn.COT(V$463)  *   SIN( ATAN(  SIN(V$463) / TAN($A478) ))  * SIGN( SIN($A478))))</f>
        <v>90</v>
      </c>
      <c r="W478" s="249" t="n">
        <f aca="false">DEGREES( _xlfn.ACOT( _xlfn.COT(W$463)  *   SIN( ATAN(  SIN(W$463) / TAN($A478) ))  * SIGN( SIN($A478))))</f>
        <v>102.952539642222</v>
      </c>
      <c r="X478" s="249" t="n">
        <f aca="false">DEGREES( _xlfn.ACOT( _xlfn.COT(X$463)  *   SIN( ATAN(  SIN(X$463) / TAN($A478) ))  * SIGN( SIN($A478))))</f>
        <v>115.658906273255</v>
      </c>
      <c r="Y478" s="249" t="n">
        <f aca="false">DEGREES( _xlfn.ACOT( _xlfn.COT(Y$463)  *   SIN( ATAN(  SIN(Y$463) / TAN($A478) ))  * SIGN( SIN($A478))))</f>
        <v>127.761243907035</v>
      </c>
      <c r="Z478" s="249" t="n">
        <f aca="false">DEGREES( _xlfn.ACOT( _xlfn.COT(Z$463)  *   SIN( ATAN(  SIN(Z$463) / TAN($A478) ))  * SIGN( SIN($A478))))</f>
        <v>138.590377890729</v>
      </c>
      <c r="AA478" s="249" t="n">
        <f aca="false">DEGREES( _xlfn.ACOT( _xlfn.COT(AA$463)  *   SIN( ATAN(  SIN(AA$463) / TAN($A478) ))  * SIGN( SIN($A478))))</f>
        <v>146.774057796712</v>
      </c>
      <c r="AB478" s="260" t="n">
        <f aca="false">DEGREES( _xlfn.ACOT( _xlfn.COT(AB$463)  *   SIN( ATAN(  SIN(AB$463) / TAN($A478) ))  * SIGN( SIN($A478))))</f>
        <v>149.999998488501</v>
      </c>
      <c r="AC478" s="195" t="e">
        <f aca="false">DEGREES( _xlfn.ACOT( _xlfn.COT(AC$463)  *   SIN( ATAN(  SIN(AC$463) / TAN($A478) ))  * SIGN( SIN($A478))))</f>
        <v>#NUM!</v>
      </c>
      <c r="AD478" s="195" t="e">
        <f aca="false">DEGREES( _xlfn.ACOT( _xlfn.COT(AD$463)  *   SIN( ATAN(  SIN(AD$463) / TAN($A478) ))  * SIGN( SIN($A478))))</f>
        <v>#NUM!</v>
      </c>
      <c r="AE478" s="1"/>
      <c r="AF478" s="1"/>
      <c r="AG478" s="1"/>
      <c r="AH478" s="1"/>
      <c r="AI478" s="1"/>
      <c r="AJ478" s="1"/>
      <c r="AK478" s="1"/>
      <c r="AL478" s="1"/>
    </row>
    <row r="479" customFormat="false" ht="12.75" hidden="false" customHeight="true" outlineLevel="0" collapsed="false">
      <c r="A479" s="193" t="n">
        <f aca="false">RADIANS(MOD(B479-180,-360)+180)</f>
        <v>-2.35619449019234</v>
      </c>
      <c r="B479" s="182" t="n">
        <v>225</v>
      </c>
      <c r="C479" s="1"/>
      <c r="D479" s="260" t="n">
        <f aca="false">DEGREES( _xlfn.ACOT( _xlfn.COT(D$463)  *   SIN( ATAN(  SIN(D$463) / TAN($A479) ))  * SIGN( SIN($A479))))</f>
        <v>134.999999991273</v>
      </c>
      <c r="E479" s="249" t="n">
        <f aca="false">DEGREES( _xlfn.ACOT( _xlfn.COT(E$463)  *   SIN( ATAN(  SIN(E$463) / TAN($A479) ))  * SIGN( SIN($A479))))</f>
        <v>133.079517141871</v>
      </c>
      <c r="F479" s="249" t="n">
        <f aca="false">DEGREES( _xlfn.ACOT( _xlfn.COT(F$463)  *   SIN( ATAN(  SIN(F$463) / TAN($A479) ))  * SIGN( SIN($A479))))</f>
        <v>127.761243907035</v>
      </c>
      <c r="G479" s="249" t="n">
        <f aca="false">DEGREES( _xlfn.ACOT( _xlfn.COT(G$463)  *   SIN( ATAN(  SIN(G$463) / TAN($A479) ))  * SIGN( SIN($A479))))</f>
        <v>120</v>
      </c>
      <c r="H479" s="249" t="n">
        <f aca="false">DEGREES( _xlfn.ACOT( _xlfn.COT(H$463)  *   SIN( ATAN(  SIN(H$463) / TAN($A479) ))  * SIGN( SIN($A479))))</f>
        <v>110.704811054635</v>
      </c>
      <c r="I479" s="249" t="n">
        <f aca="false">DEGREES( _xlfn.ACOT( _xlfn.COT(I$463)  *   SIN( ATAN(  SIN(I$463) / TAN($A479) ))  * SIGN( SIN($A479))))</f>
        <v>100.5452905895</v>
      </c>
      <c r="J479" s="260" t="n">
        <f aca="false">DEGREES( _xlfn.ACOT( _xlfn.COT(J$463)  *   SIN( ATAN(  SIN(J$463) / TAN($A479) ))  * SIGN( SIN($A479))))</f>
        <v>90</v>
      </c>
      <c r="K479" s="249" t="n">
        <f aca="false">DEGREES( _xlfn.ACOT( _xlfn.COT(K$463)  *   SIN( ATAN(  SIN(K$463) / TAN($A479) ))  * SIGN( SIN($A479))))</f>
        <v>79.4547094105004</v>
      </c>
      <c r="L479" s="249" t="n">
        <f aca="false">DEGREES( _xlfn.ACOT( _xlfn.COT(L$463)  *   SIN( ATAN(  SIN(L$463) / TAN($A479) ))  * SIGN( SIN($A479))))</f>
        <v>69.2951889453646</v>
      </c>
      <c r="M479" s="249" t="n">
        <f aca="false">DEGREES( _xlfn.ACOT( _xlfn.COT(M$463)  *   SIN( ATAN(  SIN(M$463) / TAN($A479) ))  * SIGN( SIN($A479))))</f>
        <v>60</v>
      </c>
      <c r="N479" s="249" t="n">
        <f aca="false">DEGREES( _xlfn.ACOT( _xlfn.COT(N$463)  *   SIN( ATAN(  SIN(N$463) / TAN($A479) ))  * SIGN( SIN($A479))))</f>
        <v>52.238756092965</v>
      </c>
      <c r="O479" s="249" t="n">
        <f aca="false">DEGREES( _xlfn.ACOT( _xlfn.COT(O$463)  *   SIN( ATAN(  SIN(O$463) / TAN($A479) ))  * SIGN( SIN($A479))))</f>
        <v>46.9204828581291</v>
      </c>
      <c r="P479" s="260" t="n">
        <f aca="false">DEGREES( _xlfn.ACOT( _xlfn.COT(P$463)  *   SIN( ATAN(  SIN(P$463) / TAN($A479) ))  * SIGN( SIN($A479))))</f>
        <v>45</v>
      </c>
      <c r="Q479" s="249" t="n">
        <f aca="false">DEGREES( _xlfn.ACOT( _xlfn.COT(Q$463)  *   SIN( ATAN(  SIN(Q$463) / TAN($A479) ))  * SIGN( SIN($A479))))</f>
        <v>46.9204828581291</v>
      </c>
      <c r="R479" s="249" t="n">
        <f aca="false">DEGREES( _xlfn.ACOT( _xlfn.COT(R$463)  *   SIN( ATAN(  SIN(R$463) / TAN($A479) ))  * SIGN( SIN($A479))))</f>
        <v>52.238756092965</v>
      </c>
      <c r="S479" s="249" t="n">
        <f aca="false">DEGREES( _xlfn.ACOT( _xlfn.COT(S$463)  *   SIN( ATAN(  SIN(S$463) / TAN($A479) ))  * SIGN( SIN($A479))))</f>
        <v>60</v>
      </c>
      <c r="T479" s="249" t="n">
        <f aca="false">DEGREES( _xlfn.ACOT( _xlfn.COT(T$463)  *   SIN( ATAN(  SIN(T$463) / TAN($A479) ))  * SIGN( SIN($A479))))</f>
        <v>69.2951889453646</v>
      </c>
      <c r="U479" s="249" t="n">
        <f aca="false">DEGREES( _xlfn.ACOT( _xlfn.COT(U$463)  *   SIN( ATAN(  SIN(U$463) / TAN($A479) ))  * SIGN( SIN($A479))))</f>
        <v>79.4547094105004</v>
      </c>
      <c r="V479" s="260" t="n">
        <f aca="false">DEGREES( _xlfn.ACOT( _xlfn.COT(V$463)  *   SIN( ATAN(  SIN(V$463) / TAN($A479) ))  * SIGN( SIN($A479))))</f>
        <v>90</v>
      </c>
      <c r="W479" s="249" t="n">
        <f aca="false">DEGREES( _xlfn.ACOT( _xlfn.COT(W$463)  *   SIN( ATAN(  SIN(W$463) / TAN($A479) ))  * SIGN( SIN($A479))))</f>
        <v>100.5452905895</v>
      </c>
      <c r="X479" s="249" t="n">
        <f aca="false">DEGREES( _xlfn.ACOT( _xlfn.COT(X$463)  *   SIN( ATAN(  SIN(X$463) / TAN($A479) ))  * SIGN( SIN($A479))))</f>
        <v>110.704811054635</v>
      </c>
      <c r="Y479" s="249" t="n">
        <f aca="false">DEGREES( _xlfn.ACOT( _xlfn.COT(Y$463)  *   SIN( ATAN(  SIN(Y$463) / TAN($A479) ))  * SIGN( SIN($A479))))</f>
        <v>120</v>
      </c>
      <c r="Z479" s="249" t="n">
        <f aca="false">DEGREES( _xlfn.ACOT( _xlfn.COT(Z$463)  *   SIN( ATAN(  SIN(Z$463) / TAN($A479) ))  * SIGN( SIN($A479))))</f>
        <v>127.761243907035</v>
      </c>
      <c r="AA479" s="249" t="n">
        <f aca="false">DEGREES( _xlfn.ACOT( _xlfn.COT(AA$463)  *   SIN( ATAN(  SIN(AA$463) / TAN($A479) ))  * SIGN( SIN($A479))))</f>
        <v>133.079517141871</v>
      </c>
      <c r="AB479" s="260" t="n">
        <f aca="false">DEGREES( _xlfn.ACOT( _xlfn.COT(AB$463)  *   SIN( ATAN(  SIN(AB$463) / TAN($A479) ))  * SIGN( SIN($A479))))</f>
        <v>134.999999127335</v>
      </c>
      <c r="AC479" s="195" t="e">
        <f aca="false">DEGREES( _xlfn.ACOT( _xlfn.COT(AC$463)  *   SIN( ATAN(  SIN(AC$463) / TAN($A479) ))  * SIGN( SIN($A479))))</f>
        <v>#NUM!</v>
      </c>
      <c r="AD479" s="195" t="e">
        <f aca="false">DEGREES( _xlfn.ACOT( _xlfn.COT(AD$463)  *   SIN( ATAN(  SIN(AD$463) / TAN($A479) ))  * SIGN( SIN($A479))))</f>
        <v>#NUM!</v>
      </c>
      <c r="AE479" s="1"/>
      <c r="AF479" s="1"/>
      <c r="AG479" s="1"/>
      <c r="AH479" s="1"/>
      <c r="AI479" s="1"/>
      <c r="AJ479" s="1"/>
      <c r="AK479" s="1"/>
      <c r="AL479" s="1"/>
    </row>
    <row r="480" customFormat="false" ht="12.75" hidden="false" customHeight="true" outlineLevel="0" collapsed="false">
      <c r="A480" s="193" t="n">
        <f aca="false">RADIANS(MOD(B480-180,-360)+180)</f>
        <v>-2.0943951023932</v>
      </c>
      <c r="B480" s="182" t="n">
        <v>240</v>
      </c>
      <c r="C480" s="1"/>
      <c r="D480" s="260" t="n">
        <f aca="false">DEGREES( _xlfn.ACOT( _xlfn.COT(D$463)  *   SIN( ATAN(  SIN(D$463) / TAN($A480) ))  * SIGN( SIN($A480))))</f>
        <v>119.999999994962</v>
      </c>
      <c r="E480" s="249" t="n">
        <f aca="false">DEGREES( _xlfn.ACOT( _xlfn.COT(E$463)  *   SIN( ATAN(  SIN(E$463) / TAN($A480) ))  * SIGN( SIN($A480))))</f>
        <v>118.879094017428</v>
      </c>
      <c r="F480" s="249" t="n">
        <f aca="false">DEGREES( _xlfn.ACOT( _xlfn.COT(F$463)  *   SIN( ATAN(  SIN(F$463) / TAN($A480) ))  * SIGN( SIN($A480))))</f>
        <v>115.658906273255</v>
      </c>
      <c r="G480" s="249" t="n">
        <f aca="false">DEGREES( _xlfn.ACOT( _xlfn.COT(G$463)  *   SIN( ATAN(  SIN(G$463) / TAN($A480) ))  * SIGN( SIN($A480))))</f>
        <v>110.704811054635</v>
      </c>
      <c r="H480" s="249" t="n">
        <f aca="false">DEGREES( _xlfn.ACOT( _xlfn.COT(H$463)  *   SIN( ATAN(  SIN(H$463) / TAN($A480) ))  * SIGN( SIN($A480))))</f>
        <v>104.47751218593</v>
      </c>
      <c r="I480" s="249" t="n">
        <f aca="false">DEGREES( _xlfn.ACOT( _xlfn.COT(I$463)  *   SIN( ATAN(  SIN(I$463) / TAN($A480) ))  * SIGN( SIN($A480))))</f>
        <v>97.4354722261318</v>
      </c>
      <c r="J480" s="260" t="n">
        <f aca="false">DEGREES( _xlfn.ACOT( _xlfn.COT(J$463)  *   SIN( ATAN(  SIN(J$463) / TAN($A480) ))  * SIGN( SIN($A480))))</f>
        <v>90</v>
      </c>
      <c r="K480" s="249" t="n">
        <f aca="false">DEGREES( _xlfn.ACOT( _xlfn.COT(K$463)  *   SIN( ATAN(  SIN(K$463) / TAN($A480) ))  * SIGN( SIN($A480))))</f>
        <v>82.5645277738682</v>
      </c>
      <c r="L480" s="249" t="n">
        <f aca="false">DEGREES( _xlfn.ACOT( _xlfn.COT(L$463)  *   SIN( ATAN(  SIN(L$463) / TAN($A480) ))  * SIGN( SIN($A480))))</f>
        <v>75.5224878140701</v>
      </c>
      <c r="M480" s="249" t="n">
        <f aca="false">DEGREES( _xlfn.ACOT( _xlfn.COT(M$463)  *   SIN( ATAN(  SIN(M$463) / TAN($A480) ))  * SIGN( SIN($A480))))</f>
        <v>69.2951889453646</v>
      </c>
      <c r="N480" s="249" t="n">
        <f aca="false">DEGREES( _xlfn.ACOT( _xlfn.COT(N$463)  *   SIN( ATAN(  SIN(N$463) / TAN($A480) ))  * SIGN( SIN($A480))))</f>
        <v>64.3410937267447</v>
      </c>
      <c r="O480" s="249" t="n">
        <f aca="false">DEGREES( _xlfn.ACOT( _xlfn.COT(O$463)  *   SIN( ATAN(  SIN(O$463) / TAN($A480) ))  * SIGN( SIN($A480))))</f>
        <v>61.1209059825724</v>
      </c>
      <c r="P480" s="260" t="n">
        <f aca="false">DEGREES( _xlfn.ACOT( _xlfn.COT(P$463)  *   SIN( ATAN(  SIN(P$463) / TAN($A480) ))  * SIGN( SIN($A480))))</f>
        <v>60</v>
      </c>
      <c r="Q480" s="249" t="n">
        <f aca="false">DEGREES( _xlfn.ACOT( _xlfn.COT(Q$463)  *   SIN( ATAN(  SIN(Q$463) / TAN($A480) ))  * SIGN( SIN($A480))))</f>
        <v>61.1209059825724</v>
      </c>
      <c r="R480" s="249" t="n">
        <f aca="false">DEGREES( _xlfn.ACOT( _xlfn.COT(R$463)  *   SIN( ATAN(  SIN(R$463) / TAN($A480) ))  * SIGN( SIN($A480))))</f>
        <v>64.3410937267447</v>
      </c>
      <c r="S480" s="249" t="n">
        <f aca="false">DEGREES( _xlfn.ACOT( _xlfn.COT(S$463)  *   SIN( ATAN(  SIN(S$463) / TAN($A480) ))  * SIGN( SIN($A480))))</f>
        <v>69.2951889453646</v>
      </c>
      <c r="T480" s="249" t="n">
        <f aca="false">DEGREES( _xlfn.ACOT( _xlfn.COT(T$463)  *   SIN( ATAN(  SIN(T$463) / TAN($A480) ))  * SIGN( SIN($A480))))</f>
        <v>75.5224878140701</v>
      </c>
      <c r="U480" s="249" t="n">
        <f aca="false">DEGREES( _xlfn.ACOT( _xlfn.COT(U$463)  *   SIN( ATAN(  SIN(U$463) / TAN($A480) ))  * SIGN( SIN($A480))))</f>
        <v>82.5645277738682</v>
      </c>
      <c r="V480" s="260" t="n">
        <f aca="false">DEGREES( _xlfn.ACOT( _xlfn.COT(V$463)  *   SIN( ATAN(  SIN(V$463) / TAN($A480) ))  * SIGN( SIN($A480))))</f>
        <v>90</v>
      </c>
      <c r="W480" s="249" t="n">
        <f aca="false">DEGREES( _xlfn.ACOT( _xlfn.COT(W$463)  *   SIN( ATAN(  SIN(W$463) / TAN($A480) ))  * SIGN( SIN($A480))))</f>
        <v>97.4354722261318</v>
      </c>
      <c r="X480" s="249" t="n">
        <f aca="false">DEGREES( _xlfn.ACOT( _xlfn.COT(X$463)  *   SIN( ATAN(  SIN(X$463) / TAN($A480) ))  * SIGN( SIN($A480))))</f>
        <v>104.47751218593</v>
      </c>
      <c r="Y480" s="249" t="n">
        <f aca="false">DEGREES( _xlfn.ACOT( _xlfn.COT(Y$463)  *   SIN( ATAN(  SIN(Y$463) / TAN($A480) ))  * SIGN( SIN($A480))))</f>
        <v>110.704811054635</v>
      </c>
      <c r="Z480" s="249" t="n">
        <f aca="false">DEGREES( _xlfn.ACOT( _xlfn.COT(Z$463)  *   SIN( ATAN(  SIN(Z$463) / TAN($A480) ))  * SIGN( SIN($A480))))</f>
        <v>115.658906273255</v>
      </c>
      <c r="AA480" s="249" t="n">
        <f aca="false">DEGREES( _xlfn.ACOT( _xlfn.COT(AA$463)  *   SIN( ATAN(  SIN(AA$463) / TAN($A480) ))  * SIGN( SIN($A480))))</f>
        <v>118.879094017428</v>
      </c>
      <c r="AB480" s="260" t="n">
        <f aca="false">DEGREES( _xlfn.ACOT( _xlfn.COT(AB$463)  *   SIN( ATAN(  SIN(AB$463) / TAN($A480) ))  * SIGN( SIN($A480))))</f>
        <v>119.999999496167</v>
      </c>
      <c r="AC480" s="195" t="e">
        <f aca="false">DEGREES( _xlfn.ACOT( _xlfn.COT(AC$463)  *   SIN( ATAN(  SIN(AC$463) / TAN($A480) ))  * SIGN( SIN($A480))))</f>
        <v>#NUM!</v>
      </c>
      <c r="AD480" s="195" t="e">
        <f aca="false">DEGREES( _xlfn.ACOT( _xlfn.COT(AD$463)  *   SIN( ATAN(  SIN(AD$463) / TAN($A480) ))  * SIGN( SIN($A480))))</f>
        <v>#NUM!</v>
      </c>
      <c r="AE480" s="1"/>
      <c r="AF480" s="1"/>
      <c r="AG480" s="1"/>
      <c r="AH480" s="1"/>
      <c r="AI480" s="1"/>
      <c r="AJ480" s="1"/>
      <c r="AK480" s="1"/>
      <c r="AL480" s="1"/>
    </row>
    <row r="481" customFormat="false" ht="12.75" hidden="false" customHeight="true" outlineLevel="0" collapsed="false">
      <c r="A481" s="193" t="n">
        <f aca="false">RADIANS(MOD(B481-180,-360)+180)</f>
        <v>-1.83259571459405</v>
      </c>
      <c r="B481" s="182" t="n">
        <v>255</v>
      </c>
      <c r="C481" s="1"/>
      <c r="D481" s="260" t="n">
        <f aca="false">DEGREES( _xlfn.ACOT( _xlfn.COT(D$463)  *   SIN( ATAN(  SIN(D$463) / TAN($A481) ))  * SIGN( SIN($A481))))</f>
        <v>104.999999997662</v>
      </c>
      <c r="E481" s="249" t="n">
        <f aca="false">DEGREES( _xlfn.ACOT( _xlfn.COT(E$463)  *   SIN( ATAN(  SIN(E$463) / TAN($A481) ))  * SIGN( SIN($A481))))</f>
        <v>104.47751218593</v>
      </c>
      <c r="F481" s="249" t="n">
        <f aca="false">DEGREES( _xlfn.ACOT( _xlfn.COT(F$463)  *   SIN( ATAN(  SIN(F$463) / TAN($A481) ))  * SIGN( SIN($A481))))</f>
        <v>102.952539642222</v>
      </c>
      <c r="G481" s="249" t="n">
        <f aca="false">DEGREES( _xlfn.ACOT( _xlfn.COT(G$463)  *   SIN( ATAN(  SIN(G$463) / TAN($A481) ))  * SIGN( SIN($A481))))</f>
        <v>100.5452905895</v>
      </c>
      <c r="H481" s="249" t="n">
        <f aca="false">DEGREES( _xlfn.ACOT( _xlfn.COT(H$463)  *   SIN( ATAN(  SIN(H$463) / TAN($A481) ))  * SIGN( SIN($A481))))</f>
        <v>97.4354722261319</v>
      </c>
      <c r="I481" s="249" t="n">
        <f aca="false">DEGREES( _xlfn.ACOT( _xlfn.COT(I$463)  *   SIN( ATAN(  SIN(I$463) / TAN($A481) ))  * SIGN( SIN($A481))))</f>
        <v>93.8409657162582</v>
      </c>
      <c r="J481" s="260" t="n">
        <f aca="false">DEGREES( _xlfn.ACOT( _xlfn.COT(J$463)  *   SIN( ATAN(  SIN(J$463) / TAN($A481) ))  * SIGN( SIN($A481))))</f>
        <v>90</v>
      </c>
      <c r="K481" s="249" t="n">
        <f aca="false">DEGREES( _xlfn.ACOT( _xlfn.COT(K$463)  *   SIN( ATAN(  SIN(K$463) / TAN($A481) ))  * SIGN( SIN($A481))))</f>
        <v>86.1590342837419</v>
      </c>
      <c r="L481" s="249" t="n">
        <f aca="false">DEGREES( _xlfn.ACOT( _xlfn.COT(L$463)  *   SIN( ATAN(  SIN(L$463) / TAN($A481) ))  * SIGN( SIN($A481))))</f>
        <v>82.5645277738682</v>
      </c>
      <c r="M481" s="249" t="n">
        <f aca="false">DEGREES( _xlfn.ACOT( _xlfn.COT(M$463)  *   SIN( ATAN(  SIN(M$463) / TAN($A481) ))  * SIGN( SIN($A481))))</f>
        <v>79.4547094105004</v>
      </c>
      <c r="N481" s="249" t="n">
        <f aca="false">DEGREES( _xlfn.ACOT( _xlfn.COT(N$463)  *   SIN( ATAN(  SIN(N$463) / TAN($A481) ))  * SIGN( SIN($A481))))</f>
        <v>77.0474603577776</v>
      </c>
      <c r="O481" s="249" t="n">
        <f aca="false">DEGREES( _xlfn.ACOT( _xlfn.COT(O$463)  *   SIN( ATAN(  SIN(O$463) / TAN($A481) ))  * SIGN( SIN($A481))))</f>
        <v>75.5224878140701</v>
      </c>
      <c r="P481" s="260" t="n">
        <f aca="false">DEGREES( _xlfn.ACOT( _xlfn.COT(P$463)  *   SIN( ATAN(  SIN(P$463) / TAN($A481) ))  * SIGN( SIN($A481))))</f>
        <v>75</v>
      </c>
      <c r="Q481" s="249" t="n">
        <f aca="false">DEGREES( _xlfn.ACOT( _xlfn.COT(Q$463)  *   SIN( ATAN(  SIN(Q$463) / TAN($A481) ))  * SIGN( SIN($A481))))</f>
        <v>75.5224878140701</v>
      </c>
      <c r="R481" s="249" t="n">
        <f aca="false">DEGREES( _xlfn.ACOT( _xlfn.COT(R$463)  *   SIN( ATAN(  SIN(R$463) / TAN($A481) ))  * SIGN( SIN($A481))))</f>
        <v>77.0474603577776</v>
      </c>
      <c r="S481" s="249" t="n">
        <f aca="false">DEGREES( _xlfn.ACOT( _xlfn.COT(S$463)  *   SIN( ATAN(  SIN(S$463) / TAN($A481) ))  * SIGN( SIN($A481))))</f>
        <v>79.4547094105004</v>
      </c>
      <c r="T481" s="249" t="n">
        <f aca="false">DEGREES( _xlfn.ACOT( _xlfn.COT(T$463)  *   SIN( ATAN(  SIN(T$463) / TAN($A481) ))  * SIGN( SIN($A481))))</f>
        <v>82.5645277738682</v>
      </c>
      <c r="U481" s="249" t="n">
        <f aca="false">DEGREES( _xlfn.ACOT( _xlfn.COT(U$463)  *   SIN( ATAN(  SIN(U$463) / TAN($A481) ))  * SIGN( SIN($A481))))</f>
        <v>86.1590342837419</v>
      </c>
      <c r="V481" s="260" t="n">
        <f aca="false">DEGREES( _xlfn.ACOT( _xlfn.COT(V$463)  *   SIN( ATAN(  SIN(V$463) / TAN($A481) ))  * SIGN( SIN($A481))))</f>
        <v>90</v>
      </c>
      <c r="W481" s="249" t="n">
        <f aca="false">DEGREES( _xlfn.ACOT( _xlfn.COT(W$463)  *   SIN( ATAN(  SIN(W$463) / TAN($A481) ))  * SIGN( SIN($A481))))</f>
        <v>93.8409657162582</v>
      </c>
      <c r="X481" s="249" t="n">
        <f aca="false">DEGREES( _xlfn.ACOT( _xlfn.COT(X$463)  *   SIN( ATAN(  SIN(X$463) / TAN($A481) ))  * SIGN( SIN($A481))))</f>
        <v>97.4354722261319</v>
      </c>
      <c r="Y481" s="249" t="n">
        <f aca="false">DEGREES( _xlfn.ACOT( _xlfn.COT(Y$463)  *   SIN( ATAN(  SIN(Y$463) / TAN($A481) ))  * SIGN( SIN($A481))))</f>
        <v>100.5452905895</v>
      </c>
      <c r="Z481" s="249" t="n">
        <f aca="false">DEGREES( _xlfn.ACOT( _xlfn.COT(Z$463)  *   SIN( ATAN(  SIN(Z$463) / TAN($A481) ))  * SIGN( SIN($A481))))</f>
        <v>102.952539642222</v>
      </c>
      <c r="AA481" s="249" t="n">
        <f aca="false">DEGREES( _xlfn.ACOT( _xlfn.COT(AA$463)  *   SIN( ATAN(  SIN(AA$463) / TAN($A481) ))  * SIGN( SIN($A481))))</f>
        <v>104.47751218593</v>
      </c>
      <c r="AB481" s="260" t="n">
        <f aca="false">DEGREES( _xlfn.ACOT( _xlfn.COT(AB$463)  *   SIN( ATAN(  SIN(AB$463) / TAN($A481) ))  * SIGN( SIN($A481))))</f>
        <v>104.99999976617</v>
      </c>
      <c r="AC481" s="195" t="e">
        <f aca="false">DEGREES( _xlfn.ACOT( _xlfn.COT(AC$463)  *   SIN( ATAN(  SIN(AC$463) / TAN($A481) ))  * SIGN( SIN($A481))))</f>
        <v>#NUM!</v>
      </c>
      <c r="AD481" s="195" t="e">
        <f aca="false">DEGREES( _xlfn.ACOT( _xlfn.COT(AD$463)  *   SIN( ATAN(  SIN(AD$463) / TAN($A481) ))  * SIGN( SIN($A481))))</f>
        <v>#NUM!</v>
      </c>
      <c r="AE481" s="1"/>
      <c r="AF481" s="1"/>
      <c r="AG481" s="1"/>
      <c r="AH481" s="1"/>
      <c r="AI481" s="1"/>
      <c r="AJ481" s="1"/>
      <c r="AK481" s="1"/>
      <c r="AL481" s="1"/>
    </row>
    <row r="482" customFormat="false" ht="12.75" hidden="false" customHeight="true" outlineLevel="0" collapsed="false">
      <c r="A482" s="193" t="n">
        <f aca="false">RADIANS(MOD(B482-180,-360)+180)</f>
        <v>-1.5707963267949</v>
      </c>
      <c r="B482" s="182" t="n">
        <v>270</v>
      </c>
      <c r="C482" s="1"/>
      <c r="D482" s="260" t="n">
        <f aca="false">DEGREES( _xlfn.ACOT( _xlfn.COT(D$463)  *   SIN( ATAN(  SIN(D$463) / TAN($A482) ))  * SIGN( SIN($A482))))</f>
        <v>90</v>
      </c>
      <c r="E482" s="260" t="n">
        <f aca="false">DEGREES( _xlfn.ACOT( _xlfn.COT(E$463)  *   SIN( ATAN(  SIN(E$463) / TAN($A482) ))  * SIGN( SIN($A482))))</f>
        <v>90</v>
      </c>
      <c r="F482" s="260" t="n">
        <f aca="false">DEGREES( _xlfn.ACOT( _xlfn.COT(F$463)  *   SIN( ATAN(  SIN(F$463) / TAN($A482) ))  * SIGN( SIN($A482))))</f>
        <v>90</v>
      </c>
      <c r="G482" s="260" t="n">
        <f aca="false">DEGREES( _xlfn.ACOT( _xlfn.COT(G$463)  *   SIN( ATAN(  SIN(G$463) / TAN($A482) ))  * SIGN( SIN($A482))))</f>
        <v>90</v>
      </c>
      <c r="H482" s="260" t="n">
        <f aca="false">DEGREES( _xlfn.ACOT( _xlfn.COT(H$463)  *   SIN( ATAN(  SIN(H$463) / TAN($A482) ))  * SIGN( SIN($A482))))</f>
        <v>90</v>
      </c>
      <c r="I482" s="260" t="n">
        <f aca="false">DEGREES( _xlfn.ACOT( _xlfn.COT(I$463)  *   SIN( ATAN(  SIN(I$463) / TAN($A482) ))  * SIGN( SIN($A482))))</f>
        <v>90</v>
      </c>
      <c r="J482" s="260" t="n">
        <f aca="false">DEGREES( _xlfn.ACOT( _xlfn.COT(J$463)  *   SIN( ATAN(  SIN(J$463) / TAN($A482) ))  * SIGN( SIN($A482))))</f>
        <v>90</v>
      </c>
      <c r="K482" s="260" t="n">
        <f aca="false">DEGREES( _xlfn.ACOT( _xlfn.COT(K$463)  *   SIN( ATAN(  SIN(K$463) / TAN($A482) ))  * SIGN( SIN($A482))))</f>
        <v>90</v>
      </c>
      <c r="L482" s="260" t="n">
        <f aca="false">DEGREES( _xlfn.ACOT( _xlfn.COT(L$463)  *   SIN( ATAN(  SIN(L$463) / TAN($A482) ))  * SIGN( SIN($A482))))</f>
        <v>90</v>
      </c>
      <c r="M482" s="260" t="n">
        <f aca="false">DEGREES( _xlfn.ACOT( _xlfn.COT(M$463)  *   SIN( ATAN(  SIN(M$463) / TAN($A482) ))  * SIGN( SIN($A482))))</f>
        <v>90</v>
      </c>
      <c r="N482" s="260" t="n">
        <f aca="false">DEGREES( _xlfn.ACOT( _xlfn.COT(N$463)  *   SIN( ATAN(  SIN(N$463) / TAN($A482) ))  * SIGN( SIN($A482))))</f>
        <v>90</v>
      </c>
      <c r="O482" s="260" t="n">
        <f aca="false">DEGREES( _xlfn.ACOT( _xlfn.COT(O$463)  *   SIN( ATAN(  SIN(O$463) / TAN($A482) ))  * SIGN( SIN($A482))))</f>
        <v>90</v>
      </c>
      <c r="P482" s="260" t="n">
        <f aca="false">DEGREES( _xlfn.ACOT( _xlfn.COT(P$463)  *   SIN( ATAN(  SIN(P$463) / TAN($A482) ))  * SIGN( SIN($A482))))</f>
        <v>90</v>
      </c>
      <c r="Q482" s="260" t="n">
        <f aca="false">DEGREES( _xlfn.ACOT( _xlfn.COT(Q$463)  *   SIN( ATAN(  SIN(Q$463) / TAN($A482) ))  * SIGN( SIN($A482))))</f>
        <v>90</v>
      </c>
      <c r="R482" s="260" t="n">
        <f aca="false">DEGREES( _xlfn.ACOT( _xlfn.COT(R$463)  *   SIN( ATAN(  SIN(R$463) / TAN($A482) ))  * SIGN( SIN($A482))))</f>
        <v>90</v>
      </c>
      <c r="S482" s="260" t="n">
        <f aca="false">DEGREES( _xlfn.ACOT( _xlfn.COT(S$463)  *   SIN( ATAN(  SIN(S$463) / TAN($A482) ))  * SIGN( SIN($A482))))</f>
        <v>90</v>
      </c>
      <c r="T482" s="260" t="n">
        <f aca="false">DEGREES( _xlfn.ACOT( _xlfn.COT(T$463)  *   SIN( ATAN(  SIN(T$463) / TAN($A482) ))  * SIGN( SIN($A482))))</f>
        <v>90</v>
      </c>
      <c r="U482" s="260" t="n">
        <f aca="false">DEGREES( _xlfn.ACOT( _xlfn.COT(U$463)  *   SIN( ATAN(  SIN(U$463) / TAN($A482) ))  * SIGN( SIN($A482))))</f>
        <v>90</v>
      </c>
      <c r="V482" s="260" t="n">
        <f aca="false">DEGREES( _xlfn.ACOT( _xlfn.COT(V$463)  *   SIN( ATAN(  SIN(V$463) / TAN($A482) ))  * SIGN( SIN($A482))))</f>
        <v>90</v>
      </c>
      <c r="W482" s="260" t="n">
        <f aca="false">DEGREES( _xlfn.ACOT( _xlfn.COT(W$463)  *   SIN( ATAN(  SIN(W$463) / TAN($A482) ))  * SIGN( SIN($A482))))</f>
        <v>90</v>
      </c>
      <c r="X482" s="260" t="n">
        <f aca="false">DEGREES( _xlfn.ACOT( _xlfn.COT(X$463)  *   SIN( ATAN(  SIN(X$463) / TAN($A482) ))  * SIGN( SIN($A482))))</f>
        <v>90</v>
      </c>
      <c r="Y482" s="260" t="n">
        <f aca="false">DEGREES( _xlfn.ACOT( _xlfn.COT(Y$463)  *   SIN( ATAN(  SIN(Y$463) / TAN($A482) ))  * SIGN( SIN($A482))))</f>
        <v>90</v>
      </c>
      <c r="Z482" s="260" t="n">
        <f aca="false">DEGREES( _xlfn.ACOT( _xlfn.COT(Z$463)  *   SIN( ATAN(  SIN(Z$463) / TAN($A482) ))  * SIGN( SIN($A482))))</f>
        <v>90</v>
      </c>
      <c r="AA482" s="260" t="n">
        <f aca="false">DEGREES( _xlfn.ACOT( _xlfn.COT(AA$463)  *   SIN( ATAN(  SIN(AA$463) / TAN($A482) ))  * SIGN( SIN($A482))))</f>
        <v>90</v>
      </c>
      <c r="AB482" s="260" t="n">
        <f aca="false">DEGREES( _xlfn.ACOT( _xlfn.COT(AB$463)  *   SIN( ATAN(  SIN(AB$463) / TAN($A482) ))  * SIGN( SIN($A482))))</f>
        <v>90</v>
      </c>
      <c r="AC482" s="195" t="e">
        <f aca="false">DEGREES( _xlfn.ACOT( _xlfn.COT(AC$463)  *   SIN( ATAN(  SIN(AC$463) / TAN($A482) ))  * SIGN( SIN($A482))))</f>
        <v>#NUM!</v>
      </c>
      <c r="AD482" s="195" t="e">
        <f aca="false">DEGREES( _xlfn.ACOT( _xlfn.COT(AD$463)  *   SIN( ATAN(  SIN(AD$463) / TAN($A482) ))  * SIGN( SIN($A482))))</f>
        <v>#NUM!</v>
      </c>
      <c r="AE482" s="1"/>
      <c r="AF482" s="1"/>
      <c r="AG482" s="1"/>
      <c r="AH482" s="1"/>
      <c r="AI482" s="1"/>
      <c r="AJ482" s="1"/>
      <c r="AK482" s="1"/>
      <c r="AL482" s="1"/>
    </row>
    <row r="483" customFormat="false" ht="12.75" hidden="false" customHeight="true" outlineLevel="0" collapsed="false">
      <c r="A483" s="193" t="n">
        <f aca="false">RADIANS(MOD(B483-180,-360)+180)</f>
        <v>-1.30899693899575</v>
      </c>
      <c r="B483" s="182" t="n">
        <v>285</v>
      </c>
      <c r="C483" s="1"/>
      <c r="D483" s="260" t="n">
        <f aca="false">DEGREES( _xlfn.ACOT( _xlfn.COT(D$463)  *   SIN( ATAN(  SIN(D$463) / TAN($A483) ))  * SIGN( SIN($A483))))</f>
        <v>75.0000000023383</v>
      </c>
      <c r="E483" s="249" t="n">
        <f aca="false">DEGREES( _xlfn.ACOT( _xlfn.COT(E$463)  *   SIN( ATAN(  SIN(E$463) / TAN($A483) ))  * SIGN( SIN($A483))))</f>
        <v>75.5224878140701</v>
      </c>
      <c r="F483" s="249" t="n">
        <f aca="false">DEGREES( _xlfn.ACOT( _xlfn.COT(F$463)  *   SIN( ATAN(  SIN(F$463) / TAN($A483) ))  * SIGN( SIN($A483))))</f>
        <v>77.0474603577776</v>
      </c>
      <c r="G483" s="249" t="n">
        <f aca="false">DEGREES( _xlfn.ACOT( _xlfn.COT(G$463)  *   SIN( ATAN(  SIN(G$463) / TAN($A483) ))  * SIGN( SIN($A483))))</f>
        <v>79.4547094105004</v>
      </c>
      <c r="H483" s="249" t="n">
        <f aca="false">DEGREES( _xlfn.ACOT( _xlfn.COT(H$463)  *   SIN( ATAN(  SIN(H$463) / TAN($A483) ))  * SIGN( SIN($A483))))</f>
        <v>82.5645277738682</v>
      </c>
      <c r="I483" s="249" t="n">
        <f aca="false">DEGREES( _xlfn.ACOT( _xlfn.COT(I$463)  *   SIN( ATAN(  SIN(I$463) / TAN($A483) ))  * SIGN( SIN($A483))))</f>
        <v>86.1590342837419</v>
      </c>
      <c r="J483" s="260" t="n">
        <f aca="false">DEGREES( _xlfn.ACOT( _xlfn.COT(J$463)  *   SIN( ATAN(  SIN(J$463) / TAN($A483) ))  * SIGN( SIN($A483))))</f>
        <v>90</v>
      </c>
      <c r="K483" s="249" t="n">
        <f aca="false">DEGREES( _xlfn.ACOT( _xlfn.COT(K$463)  *   SIN( ATAN(  SIN(K$463) / TAN($A483) ))  * SIGN( SIN($A483))))</f>
        <v>93.8409657162582</v>
      </c>
      <c r="L483" s="249" t="n">
        <f aca="false">DEGREES( _xlfn.ACOT( _xlfn.COT(L$463)  *   SIN( ATAN(  SIN(L$463) / TAN($A483) ))  * SIGN( SIN($A483))))</f>
        <v>97.4354722261318</v>
      </c>
      <c r="M483" s="249" t="n">
        <f aca="false">DEGREES( _xlfn.ACOT( _xlfn.COT(M$463)  *   SIN( ATAN(  SIN(M$463) / TAN($A483) ))  * SIGN( SIN($A483))))</f>
        <v>100.5452905895</v>
      </c>
      <c r="N483" s="249" t="n">
        <f aca="false">DEGREES( _xlfn.ACOT( _xlfn.COT(N$463)  *   SIN( ATAN(  SIN(N$463) / TAN($A483) ))  * SIGN( SIN($A483))))</f>
        <v>102.952539642222</v>
      </c>
      <c r="O483" s="249" t="n">
        <f aca="false">DEGREES( _xlfn.ACOT( _xlfn.COT(O$463)  *   SIN( ATAN(  SIN(O$463) / TAN($A483) ))  * SIGN( SIN($A483))))</f>
        <v>104.47751218593</v>
      </c>
      <c r="P483" s="260" t="n">
        <f aca="false">DEGREES( _xlfn.ACOT( _xlfn.COT(P$463)  *   SIN( ATAN(  SIN(P$463) / TAN($A483) ))  * SIGN( SIN($A483))))</f>
        <v>105</v>
      </c>
      <c r="Q483" s="249" t="n">
        <f aca="false">DEGREES( _xlfn.ACOT( _xlfn.COT(Q$463)  *   SIN( ATAN(  SIN(Q$463) / TAN($A483) ))  * SIGN( SIN($A483))))</f>
        <v>104.47751218593</v>
      </c>
      <c r="R483" s="249" t="n">
        <f aca="false">DEGREES( _xlfn.ACOT( _xlfn.COT(R$463)  *   SIN( ATAN(  SIN(R$463) / TAN($A483) ))  * SIGN( SIN($A483))))</f>
        <v>102.952539642222</v>
      </c>
      <c r="S483" s="249" t="n">
        <f aca="false">DEGREES( _xlfn.ACOT( _xlfn.COT(S$463)  *   SIN( ATAN(  SIN(S$463) / TAN($A483) ))  * SIGN( SIN($A483))))</f>
        <v>100.5452905895</v>
      </c>
      <c r="T483" s="249" t="n">
        <f aca="false">DEGREES( _xlfn.ACOT( _xlfn.COT(T$463)  *   SIN( ATAN(  SIN(T$463) / TAN($A483) ))  * SIGN( SIN($A483))))</f>
        <v>97.4354722261318</v>
      </c>
      <c r="U483" s="249" t="n">
        <f aca="false">DEGREES( _xlfn.ACOT( _xlfn.COT(U$463)  *   SIN( ATAN(  SIN(U$463) / TAN($A483) ))  * SIGN( SIN($A483))))</f>
        <v>93.8409657162582</v>
      </c>
      <c r="V483" s="260" t="n">
        <f aca="false">DEGREES( _xlfn.ACOT( _xlfn.COT(V$463)  *   SIN( ATAN(  SIN(V$463) / TAN($A483) ))  * SIGN( SIN($A483))))</f>
        <v>90</v>
      </c>
      <c r="W483" s="249" t="n">
        <f aca="false">DEGREES( _xlfn.ACOT( _xlfn.COT(W$463)  *   SIN( ATAN(  SIN(W$463) / TAN($A483) ))  * SIGN( SIN($A483))))</f>
        <v>86.1590342837419</v>
      </c>
      <c r="X483" s="249" t="n">
        <f aca="false">DEGREES( _xlfn.ACOT( _xlfn.COT(X$463)  *   SIN( ATAN(  SIN(X$463) / TAN($A483) ))  * SIGN( SIN($A483))))</f>
        <v>82.5645277738682</v>
      </c>
      <c r="Y483" s="249" t="n">
        <f aca="false">DEGREES( _xlfn.ACOT( _xlfn.COT(Y$463)  *   SIN( ATAN(  SIN(Y$463) / TAN($A483) ))  * SIGN( SIN($A483))))</f>
        <v>79.4547094105004</v>
      </c>
      <c r="Z483" s="249" t="n">
        <f aca="false">DEGREES( _xlfn.ACOT( _xlfn.COT(Z$463)  *   SIN( ATAN(  SIN(Z$463) / TAN($A483) ))  * SIGN( SIN($A483))))</f>
        <v>77.0474603577776</v>
      </c>
      <c r="AA483" s="249" t="n">
        <f aca="false">DEGREES( _xlfn.ACOT( _xlfn.COT(AA$463)  *   SIN( ATAN(  SIN(AA$463) / TAN($A483) ))  * SIGN( SIN($A483))))</f>
        <v>75.5224878140701</v>
      </c>
      <c r="AB483" s="260" t="n">
        <f aca="false">DEGREES( _xlfn.ACOT( _xlfn.COT(AB$463)  *   SIN( ATAN(  SIN(AB$463) / TAN($A483) ))  * SIGN( SIN($A483))))</f>
        <v>75.0000002338298</v>
      </c>
      <c r="AC483" s="195" t="e">
        <f aca="false">DEGREES( _xlfn.ACOT( _xlfn.COT(AC$463)  *   SIN( ATAN(  SIN(AC$463) / TAN($A483) ))  * SIGN( SIN($A483))))</f>
        <v>#NUM!</v>
      </c>
      <c r="AD483" s="195" t="e">
        <f aca="false">DEGREES( _xlfn.ACOT( _xlfn.COT(AD$463)  *   SIN( ATAN(  SIN(AD$463) / TAN($A483) ))  * SIGN( SIN($A483))))</f>
        <v>#NUM!</v>
      </c>
      <c r="AE483" s="1"/>
      <c r="AF483" s="1"/>
      <c r="AG483" s="1"/>
      <c r="AH483" s="1"/>
      <c r="AI483" s="1"/>
      <c r="AJ483" s="1"/>
      <c r="AK483" s="1"/>
      <c r="AL483" s="1"/>
    </row>
    <row r="484" customFormat="false" ht="12.75" hidden="false" customHeight="true" outlineLevel="0" collapsed="false">
      <c r="A484" s="193" t="n">
        <f aca="false">RADIANS(MOD(B484-180,-360)+180)</f>
        <v>-1.0471975511966</v>
      </c>
      <c r="B484" s="182" t="n">
        <v>300</v>
      </c>
      <c r="C484" s="1"/>
      <c r="D484" s="260" t="n">
        <f aca="false">DEGREES( _xlfn.ACOT( _xlfn.COT(D$463)  *   SIN( ATAN(  SIN(D$463) / TAN($A484) ))  * SIGN( SIN($A484))))</f>
        <v>60.0000000050383</v>
      </c>
      <c r="E484" s="249" t="n">
        <f aca="false">DEGREES( _xlfn.ACOT( _xlfn.COT(E$463)  *   SIN( ATAN(  SIN(E$463) / TAN($A484) ))  * SIGN( SIN($A484))))</f>
        <v>61.1209059825724</v>
      </c>
      <c r="F484" s="249" t="n">
        <f aca="false">DEGREES( _xlfn.ACOT( _xlfn.COT(F$463)  *   SIN( ATAN(  SIN(F$463) / TAN($A484) ))  * SIGN( SIN($A484))))</f>
        <v>64.3410937267447</v>
      </c>
      <c r="G484" s="249" t="n">
        <f aca="false">DEGREES( _xlfn.ACOT( _xlfn.COT(G$463)  *   SIN( ATAN(  SIN(G$463) / TAN($A484) ))  * SIGN( SIN($A484))))</f>
        <v>69.2951889453646</v>
      </c>
      <c r="H484" s="249" t="n">
        <f aca="false">DEGREES( _xlfn.ACOT( _xlfn.COT(H$463)  *   SIN( ATAN(  SIN(H$463) / TAN($A484) ))  * SIGN( SIN($A484))))</f>
        <v>75.5224878140701</v>
      </c>
      <c r="I484" s="249" t="n">
        <f aca="false">DEGREES( _xlfn.ACOT( _xlfn.COT(I$463)  *   SIN( ATAN(  SIN(I$463) / TAN($A484) ))  * SIGN( SIN($A484))))</f>
        <v>82.5645277738682</v>
      </c>
      <c r="J484" s="260" t="n">
        <f aca="false">DEGREES( _xlfn.ACOT( _xlfn.COT(J$463)  *   SIN( ATAN(  SIN(J$463) / TAN($A484) ))  * SIGN( SIN($A484))))</f>
        <v>90</v>
      </c>
      <c r="K484" s="249" t="n">
        <f aca="false">DEGREES( _xlfn.ACOT( _xlfn.COT(K$463)  *   SIN( ATAN(  SIN(K$463) / TAN($A484) ))  * SIGN( SIN($A484))))</f>
        <v>97.4354722261319</v>
      </c>
      <c r="L484" s="249" t="n">
        <f aca="false">DEGREES( _xlfn.ACOT( _xlfn.COT(L$463)  *   SIN( ATAN(  SIN(L$463) / TAN($A484) ))  * SIGN( SIN($A484))))</f>
        <v>104.47751218593</v>
      </c>
      <c r="M484" s="249" t="n">
        <f aca="false">DEGREES( _xlfn.ACOT( _xlfn.COT(M$463)  *   SIN( ATAN(  SIN(M$463) / TAN($A484) ))  * SIGN( SIN($A484))))</f>
        <v>110.704811054635</v>
      </c>
      <c r="N484" s="249" t="n">
        <f aca="false">DEGREES( _xlfn.ACOT( _xlfn.COT(N$463)  *   SIN( ATAN(  SIN(N$463) / TAN($A484) ))  * SIGN( SIN($A484))))</f>
        <v>115.658906273255</v>
      </c>
      <c r="O484" s="249" t="n">
        <f aca="false">DEGREES( _xlfn.ACOT( _xlfn.COT(O$463)  *   SIN( ATAN(  SIN(O$463) / TAN($A484) ))  * SIGN( SIN($A484))))</f>
        <v>118.879094017428</v>
      </c>
      <c r="P484" s="260" t="n">
        <f aca="false">DEGREES( _xlfn.ACOT( _xlfn.COT(P$463)  *   SIN( ATAN(  SIN(P$463) / TAN($A484) ))  * SIGN( SIN($A484))))</f>
        <v>120</v>
      </c>
      <c r="Q484" s="249" t="n">
        <f aca="false">DEGREES( _xlfn.ACOT( _xlfn.COT(Q$463)  *   SIN( ATAN(  SIN(Q$463) / TAN($A484) ))  * SIGN( SIN($A484))))</f>
        <v>118.879094017428</v>
      </c>
      <c r="R484" s="249" t="n">
        <f aca="false">DEGREES( _xlfn.ACOT( _xlfn.COT(R$463)  *   SIN( ATAN(  SIN(R$463) / TAN($A484) ))  * SIGN( SIN($A484))))</f>
        <v>115.658906273255</v>
      </c>
      <c r="S484" s="249" t="n">
        <f aca="false">DEGREES( _xlfn.ACOT( _xlfn.COT(S$463)  *   SIN( ATAN(  SIN(S$463) / TAN($A484) ))  * SIGN( SIN($A484))))</f>
        <v>110.704811054635</v>
      </c>
      <c r="T484" s="249" t="n">
        <f aca="false">DEGREES( _xlfn.ACOT( _xlfn.COT(T$463)  *   SIN( ATAN(  SIN(T$463) / TAN($A484) ))  * SIGN( SIN($A484))))</f>
        <v>104.47751218593</v>
      </c>
      <c r="U484" s="249" t="n">
        <f aca="false">DEGREES( _xlfn.ACOT( _xlfn.COT(U$463)  *   SIN( ATAN(  SIN(U$463) / TAN($A484) ))  * SIGN( SIN($A484))))</f>
        <v>97.4354722261319</v>
      </c>
      <c r="V484" s="260" t="n">
        <f aca="false">DEGREES( _xlfn.ACOT( _xlfn.COT(V$463)  *   SIN( ATAN(  SIN(V$463) / TAN($A484) ))  * SIGN( SIN($A484))))</f>
        <v>90</v>
      </c>
      <c r="W484" s="249" t="n">
        <f aca="false">DEGREES( _xlfn.ACOT( _xlfn.COT(W$463)  *   SIN( ATAN(  SIN(W$463) / TAN($A484) ))  * SIGN( SIN($A484))))</f>
        <v>82.5645277738682</v>
      </c>
      <c r="X484" s="249" t="n">
        <f aca="false">DEGREES( _xlfn.ACOT( _xlfn.COT(X$463)  *   SIN( ATAN(  SIN(X$463) / TAN($A484) ))  * SIGN( SIN($A484))))</f>
        <v>75.5224878140701</v>
      </c>
      <c r="Y484" s="249" t="n">
        <f aca="false">DEGREES( _xlfn.ACOT( _xlfn.COT(Y$463)  *   SIN( ATAN(  SIN(Y$463) / TAN($A484) ))  * SIGN( SIN($A484))))</f>
        <v>69.2951889453646</v>
      </c>
      <c r="Z484" s="249" t="n">
        <f aca="false">DEGREES( _xlfn.ACOT( _xlfn.COT(Z$463)  *   SIN( ATAN(  SIN(Z$463) / TAN($A484) ))  * SIGN( SIN($A484))))</f>
        <v>64.3410937267447</v>
      </c>
      <c r="AA484" s="249" t="n">
        <f aca="false">DEGREES( _xlfn.ACOT( _xlfn.COT(AA$463)  *   SIN( ATAN(  SIN(AA$463) / TAN($A484) ))  * SIGN( SIN($A484))))</f>
        <v>61.1209059825724</v>
      </c>
      <c r="AB484" s="260" t="n">
        <f aca="false">DEGREES( _xlfn.ACOT( _xlfn.COT(AB$463)  *   SIN( ATAN(  SIN(AB$463) / TAN($A484) ))  * SIGN( SIN($A484))))</f>
        <v>60.0000005038332</v>
      </c>
      <c r="AC484" s="195" t="e">
        <f aca="false">DEGREES( _xlfn.ACOT( _xlfn.COT(AC$463)  *   SIN( ATAN(  SIN(AC$463) / TAN($A484) ))  * SIGN( SIN($A484))))</f>
        <v>#NUM!</v>
      </c>
      <c r="AD484" s="195" t="e">
        <f aca="false">DEGREES( _xlfn.ACOT( _xlfn.COT(AD$463)  *   SIN( ATAN(  SIN(AD$463) / TAN($A484) ))  * SIGN( SIN($A484))))</f>
        <v>#NUM!</v>
      </c>
      <c r="AE484" s="1"/>
      <c r="AF484" s="1"/>
      <c r="AG484" s="1"/>
      <c r="AH484" s="1"/>
      <c r="AI484" s="1"/>
      <c r="AJ484" s="1"/>
      <c r="AK484" s="1"/>
      <c r="AL484" s="1"/>
    </row>
    <row r="485" customFormat="false" ht="12.75" hidden="false" customHeight="true" outlineLevel="0" collapsed="false">
      <c r="A485" s="193" t="n">
        <f aca="false">RADIANS(MOD(B485-180,-360)+180)</f>
        <v>-0.785398163397448</v>
      </c>
      <c r="B485" s="182" t="n">
        <v>315</v>
      </c>
      <c r="C485" s="1"/>
      <c r="D485" s="260" t="n">
        <f aca="false">DEGREES( _xlfn.ACOT( _xlfn.COT(D$463)  *   SIN( ATAN(  SIN(D$463) / TAN($A485) ))  * SIGN( SIN($A485))))</f>
        <v>45.0000000087266</v>
      </c>
      <c r="E485" s="249" t="n">
        <f aca="false">DEGREES( _xlfn.ACOT( _xlfn.COT(E$463)  *   SIN( ATAN(  SIN(E$463) / TAN($A485) ))  * SIGN( SIN($A485))))</f>
        <v>46.9204828581291</v>
      </c>
      <c r="F485" s="249" t="n">
        <f aca="false">DEGREES( _xlfn.ACOT( _xlfn.COT(F$463)  *   SIN( ATAN(  SIN(F$463) / TAN($A485) ))  * SIGN( SIN($A485))))</f>
        <v>52.238756092965</v>
      </c>
      <c r="G485" s="249" t="n">
        <f aca="false">DEGREES( _xlfn.ACOT( _xlfn.COT(G$463)  *   SIN( ATAN(  SIN(G$463) / TAN($A485) ))  * SIGN( SIN($A485))))</f>
        <v>60</v>
      </c>
      <c r="H485" s="249" t="n">
        <f aca="false">DEGREES( _xlfn.ACOT( _xlfn.COT(H$463)  *   SIN( ATAN(  SIN(H$463) / TAN($A485) ))  * SIGN( SIN($A485))))</f>
        <v>69.2951889453646</v>
      </c>
      <c r="I485" s="249" t="n">
        <f aca="false">DEGREES( _xlfn.ACOT( _xlfn.COT(I$463)  *   SIN( ATAN(  SIN(I$463) / TAN($A485) ))  * SIGN( SIN($A485))))</f>
        <v>79.4547094105004</v>
      </c>
      <c r="J485" s="260" t="n">
        <f aca="false">DEGREES( _xlfn.ACOT( _xlfn.COT(J$463)  *   SIN( ATAN(  SIN(J$463) / TAN($A485) ))  * SIGN( SIN($A485))))</f>
        <v>90</v>
      </c>
      <c r="K485" s="249" t="n">
        <f aca="false">DEGREES( _xlfn.ACOT( _xlfn.COT(K$463)  *   SIN( ATAN(  SIN(K$463) / TAN($A485) ))  * SIGN( SIN($A485))))</f>
        <v>100.5452905895</v>
      </c>
      <c r="L485" s="249" t="n">
        <f aca="false">DEGREES( _xlfn.ACOT( _xlfn.COT(L$463)  *   SIN( ATAN(  SIN(L$463) / TAN($A485) ))  * SIGN( SIN($A485))))</f>
        <v>110.704811054635</v>
      </c>
      <c r="M485" s="249" t="n">
        <f aca="false">DEGREES( _xlfn.ACOT( _xlfn.COT(M$463)  *   SIN( ATAN(  SIN(M$463) / TAN($A485) ))  * SIGN( SIN($A485))))</f>
        <v>120</v>
      </c>
      <c r="N485" s="249" t="n">
        <f aca="false">DEGREES( _xlfn.ACOT( _xlfn.COT(N$463)  *   SIN( ATAN(  SIN(N$463) / TAN($A485) ))  * SIGN( SIN($A485))))</f>
        <v>127.761243907035</v>
      </c>
      <c r="O485" s="249" t="n">
        <f aca="false">DEGREES( _xlfn.ACOT( _xlfn.COT(O$463)  *   SIN( ATAN(  SIN(O$463) / TAN($A485) ))  * SIGN( SIN($A485))))</f>
        <v>133.079517141871</v>
      </c>
      <c r="P485" s="260" t="n">
        <f aca="false">DEGREES( _xlfn.ACOT( _xlfn.COT(P$463)  *   SIN( ATAN(  SIN(P$463) / TAN($A485) ))  * SIGN( SIN($A485))))</f>
        <v>135</v>
      </c>
      <c r="Q485" s="249" t="n">
        <f aca="false">DEGREES( _xlfn.ACOT( _xlfn.COT(Q$463)  *   SIN( ATAN(  SIN(Q$463) / TAN($A485) ))  * SIGN( SIN($A485))))</f>
        <v>133.079517141871</v>
      </c>
      <c r="R485" s="249" t="n">
        <f aca="false">DEGREES( _xlfn.ACOT( _xlfn.COT(R$463)  *   SIN( ATAN(  SIN(R$463) / TAN($A485) ))  * SIGN( SIN($A485))))</f>
        <v>127.761243907035</v>
      </c>
      <c r="S485" s="249" t="n">
        <f aca="false">DEGREES( _xlfn.ACOT( _xlfn.COT(S$463)  *   SIN( ATAN(  SIN(S$463) / TAN($A485) ))  * SIGN( SIN($A485))))</f>
        <v>120</v>
      </c>
      <c r="T485" s="249" t="n">
        <f aca="false">DEGREES( _xlfn.ACOT( _xlfn.COT(T$463)  *   SIN( ATAN(  SIN(T$463) / TAN($A485) ))  * SIGN( SIN($A485))))</f>
        <v>110.704811054635</v>
      </c>
      <c r="U485" s="249" t="n">
        <f aca="false">DEGREES( _xlfn.ACOT( _xlfn.COT(U$463)  *   SIN( ATAN(  SIN(U$463) / TAN($A485) ))  * SIGN( SIN($A485))))</f>
        <v>100.5452905895</v>
      </c>
      <c r="V485" s="260" t="n">
        <f aca="false">DEGREES( _xlfn.ACOT( _xlfn.COT(V$463)  *   SIN( ATAN(  SIN(V$463) / TAN($A485) ))  * SIGN( SIN($A485))))</f>
        <v>90</v>
      </c>
      <c r="W485" s="249" t="n">
        <f aca="false">DEGREES( _xlfn.ACOT( _xlfn.COT(W$463)  *   SIN( ATAN(  SIN(W$463) / TAN($A485) ))  * SIGN( SIN($A485))))</f>
        <v>79.4547094105004</v>
      </c>
      <c r="X485" s="249" t="n">
        <f aca="false">DEGREES( _xlfn.ACOT( _xlfn.COT(X$463)  *   SIN( ATAN(  SIN(X$463) / TAN($A485) ))  * SIGN( SIN($A485))))</f>
        <v>69.2951889453646</v>
      </c>
      <c r="Y485" s="249" t="n">
        <f aca="false">DEGREES( _xlfn.ACOT( _xlfn.COT(Y$463)  *   SIN( ATAN(  SIN(Y$463) / TAN($A485) ))  * SIGN( SIN($A485))))</f>
        <v>60</v>
      </c>
      <c r="Z485" s="249" t="n">
        <f aca="false">DEGREES( _xlfn.ACOT( _xlfn.COT(Z$463)  *   SIN( ATAN(  SIN(Z$463) / TAN($A485) ))  * SIGN( SIN($A485))))</f>
        <v>52.238756092965</v>
      </c>
      <c r="AA485" s="249" t="n">
        <f aca="false">DEGREES( _xlfn.ACOT( _xlfn.COT(AA$463)  *   SIN( ATAN(  SIN(AA$463) / TAN($A485) ))  * SIGN( SIN($A485))))</f>
        <v>46.9204828581291</v>
      </c>
      <c r="AB485" s="260" t="n">
        <f aca="false">DEGREES( _xlfn.ACOT( _xlfn.COT(AB$463)  *   SIN( ATAN(  SIN(AB$463) / TAN($A485) ))  * SIGN( SIN($A485))))</f>
        <v>45.0000008726646</v>
      </c>
      <c r="AC485" s="195" t="e">
        <f aca="false">DEGREES( _xlfn.ACOT( _xlfn.COT(AC$463)  *   SIN( ATAN(  SIN(AC$463) / TAN($A485) ))  * SIGN( SIN($A485))))</f>
        <v>#NUM!</v>
      </c>
      <c r="AD485" s="195" t="e">
        <f aca="false">DEGREES( _xlfn.ACOT( _xlfn.COT(AD$463)  *   SIN( ATAN(  SIN(AD$463) / TAN($A485) ))  * SIGN( SIN($A485))))</f>
        <v>#NUM!</v>
      </c>
      <c r="AE485" s="1"/>
      <c r="AF485" s="1"/>
      <c r="AG485" s="1"/>
      <c r="AH485" s="1"/>
      <c r="AI485" s="1"/>
      <c r="AJ485" s="1"/>
      <c r="AK485" s="1"/>
      <c r="AL485" s="1"/>
    </row>
    <row r="486" customFormat="false" ht="12.75" hidden="false" customHeight="true" outlineLevel="0" collapsed="false">
      <c r="A486" s="193" t="n">
        <f aca="false">RADIANS(MOD(B486-180,-360)+180)</f>
        <v>-0.523598775598299</v>
      </c>
      <c r="B486" s="182" t="n">
        <v>330</v>
      </c>
      <c r="C486" s="1"/>
      <c r="D486" s="260" t="n">
        <f aca="false">DEGREES( _xlfn.ACOT( _xlfn.COT(D$463)  *   SIN( ATAN(  SIN(D$463) / TAN($A486) ))  * SIGN( SIN($A486))))</f>
        <v>30.000000015115</v>
      </c>
      <c r="E486" s="249" t="n">
        <f aca="false">DEGREES( _xlfn.ACOT( _xlfn.COT(E$463)  *   SIN( ATAN(  SIN(E$463) / TAN($A486) ))  * SIGN( SIN($A486))))</f>
        <v>33.2259422032876</v>
      </c>
      <c r="F486" s="249" t="n">
        <f aca="false">DEGREES( _xlfn.ACOT( _xlfn.COT(F$463)  *   SIN( ATAN(  SIN(F$463) / TAN($A486) ))  * SIGN( SIN($A486))))</f>
        <v>41.4096221092709</v>
      </c>
      <c r="G486" s="249" t="n">
        <f aca="false">DEGREES( _xlfn.ACOT( _xlfn.COT(G$463)  *   SIN( ATAN(  SIN(G$463) / TAN($A486) ))  * SIGN( SIN($A486))))</f>
        <v>52.238756092965</v>
      </c>
      <c r="H486" s="249" t="n">
        <f aca="false">DEGREES( _xlfn.ACOT( _xlfn.COT(H$463)  *   SIN( ATAN(  SIN(H$463) / TAN($A486) ))  * SIGN( SIN($A486))))</f>
        <v>64.3410937267447</v>
      </c>
      <c r="I486" s="249" t="n">
        <f aca="false">DEGREES( _xlfn.ACOT( _xlfn.COT(I$463)  *   SIN( ATAN(  SIN(I$463) / TAN($A486) ))  * SIGN( SIN($A486))))</f>
        <v>77.0474603577776</v>
      </c>
      <c r="J486" s="260" t="n">
        <f aca="false">DEGREES( _xlfn.ACOT( _xlfn.COT(J$463)  *   SIN( ATAN(  SIN(J$463) / TAN($A486) ))  * SIGN( SIN($A486))))</f>
        <v>90</v>
      </c>
      <c r="K486" s="249" t="n">
        <f aca="false">DEGREES( _xlfn.ACOT( _xlfn.COT(K$463)  *   SIN( ATAN(  SIN(K$463) / TAN($A486) ))  * SIGN( SIN($A486))))</f>
        <v>102.952539642222</v>
      </c>
      <c r="L486" s="249" t="n">
        <f aca="false">DEGREES( _xlfn.ACOT( _xlfn.COT(L$463)  *   SIN( ATAN(  SIN(L$463) / TAN($A486) ))  * SIGN( SIN($A486))))</f>
        <v>115.658906273255</v>
      </c>
      <c r="M486" s="249" t="n">
        <f aca="false">DEGREES( _xlfn.ACOT( _xlfn.COT(M$463)  *   SIN( ATAN(  SIN(M$463) / TAN($A486) ))  * SIGN( SIN($A486))))</f>
        <v>127.761243907035</v>
      </c>
      <c r="N486" s="249" t="n">
        <f aca="false">DEGREES( _xlfn.ACOT( _xlfn.COT(N$463)  *   SIN( ATAN(  SIN(N$463) / TAN($A486) ))  * SIGN( SIN($A486))))</f>
        <v>138.590377890729</v>
      </c>
      <c r="O486" s="249" t="n">
        <f aca="false">DEGREES( _xlfn.ACOT( _xlfn.COT(O$463)  *   SIN( ATAN(  SIN(O$463) / TAN($A486) ))  * SIGN( SIN($A486))))</f>
        <v>146.774057796712</v>
      </c>
      <c r="P486" s="260" t="n">
        <f aca="false">DEGREES( _xlfn.ACOT( _xlfn.COT(P$463)  *   SIN( ATAN(  SIN(P$463) / TAN($A486) ))  * SIGN( SIN($A486))))</f>
        <v>150</v>
      </c>
      <c r="Q486" s="249" t="n">
        <f aca="false">DEGREES( _xlfn.ACOT( _xlfn.COT(Q$463)  *   SIN( ATAN(  SIN(Q$463) / TAN($A486) ))  * SIGN( SIN($A486))))</f>
        <v>146.774057796712</v>
      </c>
      <c r="R486" s="249" t="n">
        <f aca="false">DEGREES( _xlfn.ACOT( _xlfn.COT(R$463)  *   SIN( ATAN(  SIN(R$463) / TAN($A486) ))  * SIGN( SIN($A486))))</f>
        <v>138.590377890729</v>
      </c>
      <c r="S486" s="249" t="n">
        <f aca="false">DEGREES( _xlfn.ACOT( _xlfn.COT(S$463)  *   SIN( ATAN(  SIN(S$463) / TAN($A486) ))  * SIGN( SIN($A486))))</f>
        <v>127.761243907035</v>
      </c>
      <c r="T486" s="249" t="n">
        <f aca="false">DEGREES( _xlfn.ACOT( _xlfn.COT(T$463)  *   SIN( ATAN(  SIN(T$463) / TAN($A486) ))  * SIGN( SIN($A486))))</f>
        <v>115.658906273255</v>
      </c>
      <c r="U486" s="249" t="n">
        <f aca="false">DEGREES( _xlfn.ACOT( _xlfn.COT(U$463)  *   SIN( ATAN(  SIN(U$463) / TAN($A486) ))  * SIGN( SIN($A486))))</f>
        <v>102.952539642222</v>
      </c>
      <c r="V486" s="260" t="n">
        <f aca="false">DEGREES( _xlfn.ACOT( _xlfn.COT(V$463)  *   SIN( ATAN(  SIN(V$463) / TAN($A486) ))  * SIGN( SIN($A486))))</f>
        <v>90</v>
      </c>
      <c r="W486" s="249" t="n">
        <f aca="false">DEGREES( _xlfn.ACOT( _xlfn.COT(W$463)  *   SIN( ATAN(  SIN(W$463) / TAN($A486) ))  * SIGN( SIN($A486))))</f>
        <v>77.0474603577776</v>
      </c>
      <c r="X486" s="249" t="n">
        <f aca="false">DEGREES( _xlfn.ACOT( _xlfn.COT(X$463)  *   SIN( ATAN(  SIN(X$463) / TAN($A486) ))  * SIGN( SIN($A486))))</f>
        <v>64.3410937267447</v>
      </c>
      <c r="Y486" s="249" t="n">
        <f aca="false">DEGREES( _xlfn.ACOT( _xlfn.COT(Y$463)  *   SIN( ATAN(  SIN(Y$463) / TAN($A486) ))  * SIGN( SIN($A486))))</f>
        <v>52.238756092965</v>
      </c>
      <c r="Z486" s="249" t="n">
        <f aca="false">DEGREES( _xlfn.ACOT( _xlfn.COT(Z$463)  *   SIN( ATAN(  SIN(Z$463) / TAN($A486) ))  * SIGN( SIN($A486))))</f>
        <v>41.4096221092709</v>
      </c>
      <c r="AA486" s="249" t="n">
        <f aca="false">DEGREES( _xlfn.ACOT( _xlfn.COT(AA$463)  *   SIN( ATAN(  SIN(AA$463) / TAN($A486) ))  * SIGN( SIN($A486))))</f>
        <v>33.2259422032876</v>
      </c>
      <c r="AB486" s="260" t="n">
        <f aca="false">DEGREES( _xlfn.ACOT( _xlfn.COT(AB$463)  *   SIN( ATAN(  SIN(AB$463) / TAN($A486) ))  * SIGN( SIN($A486))))</f>
        <v>30.0000015114994</v>
      </c>
      <c r="AC486" s="195" t="e">
        <f aca="false">DEGREES( _xlfn.ACOT( _xlfn.COT(AC$463)  *   SIN( ATAN(  SIN(AC$463) / TAN($A486) ))  * SIGN( SIN($A486))))</f>
        <v>#NUM!</v>
      </c>
      <c r="AD486" s="195" t="e">
        <f aca="false">DEGREES( _xlfn.ACOT( _xlfn.COT(AD$463)  *   SIN( ATAN(  SIN(AD$463) / TAN($A486) ))  * SIGN( SIN($A486))))</f>
        <v>#NUM!</v>
      </c>
      <c r="AE486" s="1"/>
      <c r="AF486" s="1"/>
      <c r="AG486" s="1"/>
      <c r="AH486" s="1"/>
      <c r="AI486" s="1"/>
      <c r="AJ486" s="1"/>
      <c r="AK486" s="1"/>
      <c r="AL486" s="1"/>
    </row>
    <row r="487" customFormat="false" ht="12.75" hidden="false" customHeight="true" outlineLevel="0" collapsed="false">
      <c r="A487" s="193" t="n">
        <f aca="false">RADIANS(MOD(B487-180,-360)+180)</f>
        <v>-0.261799387799149</v>
      </c>
      <c r="B487" s="182" t="n">
        <v>345</v>
      </c>
      <c r="C487" s="1"/>
      <c r="D487" s="260" t="n">
        <f aca="false">DEGREES( _xlfn.ACOT( _xlfn.COT(D$463)  *   SIN( ATAN(  SIN(D$463) / TAN($A487) ))  * SIGN( SIN($A487))))</f>
        <v>15.0000000325683</v>
      </c>
      <c r="E487" s="249" t="n">
        <f aca="false">DEGREES( _xlfn.ACOT( _xlfn.COT(E$463)  *   SIN( ATAN(  SIN(E$463) / TAN($A487) ))  * SIGN( SIN($A487))))</f>
        <v>21.0905811789991</v>
      </c>
      <c r="F487" s="249" t="n">
        <f aca="false">DEGREES( _xlfn.ACOT( _xlfn.COT(F$463)  *   SIN( ATAN(  SIN(F$463) / TAN($A487) ))  * SIGN( SIN($A487))))</f>
        <v>33.2259422032876</v>
      </c>
      <c r="G487" s="249" t="n">
        <f aca="false">DEGREES( _xlfn.ACOT( _xlfn.COT(G$463)  *   SIN( ATAN(  SIN(G$463) / TAN($A487) ))  * SIGN( SIN($A487))))</f>
        <v>46.9204828581291</v>
      </c>
      <c r="H487" s="249" t="n">
        <f aca="false">DEGREES( _xlfn.ACOT( _xlfn.COT(H$463)  *   SIN( ATAN(  SIN(H$463) / TAN($A487) ))  * SIGN( SIN($A487))))</f>
        <v>61.1209059825724</v>
      </c>
      <c r="I487" s="249" t="n">
        <f aca="false">DEGREES( _xlfn.ACOT( _xlfn.COT(I$463)  *   SIN( ATAN(  SIN(I$463) / TAN($A487) ))  * SIGN( SIN($A487))))</f>
        <v>75.5224878140701</v>
      </c>
      <c r="J487" s="260" t="n">
        <f aca="false">DEGREES( _xlfn.ACOT( _xlfn.COT(J$463)  *   SIN( ATAN(  SIN(J$463) / TAN($A487) ))  * SIGN( SIN($A487))))</f>
        <v>90</v>
      </c>
      <c r="K487" s="249" t="n">
        <f aca="false">DEGREES( _xlfn.ACOT( _xlfn.COT(K$463)  *   SIN( ATAN(  SIN(K$463) / TAN($A487) ))  * SIGN( SIN($A487))))</f>
        <v>104.47751218593</v>
      </c>
      <c r="L487" s="249" t="n">
        <f aca="false">DEGREES( _xlfn.ACOT( _xlfn.COT(L$463)  *   SIN( ATAN(  SIN(L$463) / TAN($A487) ))  * SIGN( SIN($A487))))</f>
        <v>118.879094017428</v>
      </c>
      <c r="M487" s="249" t="n">
        <f aca="false">DEGREES( _xlfn.ACOT( _xlfn.COT(M$463)  *   SIN( ATAN(  SIN(M$463) / TAN($A487) ))  * SIGN( SIN($A487))))</f>
        <v>133.079517141871</v>
      </c>
      <c r="N487" s="249" t="n">
        <f aca="false">DEGREES( _xlfn.ACOT( _xlfn.COT(N$463)  *   SIN( ATAN(  SIN(N$463) / TAN($A487) ))  * SIGN( SIN($A487))))</f>
        <v>146.774057796712</v>
      </c>
      <c r="O487" s="249" t="n">
        <f aca="false">DEGREES( _xlfn.ACOT( _xlfn.COT(O$463)  *   SIN( ATAN(  SIN(O$463) / TAN($A487) ))  * SIGN( SIN($A487))))</f>
        <v>158.909418821001</v>
      </c>
      <c r="P487" s="260" t="n">
        <f aca="false">DEGREES( _xlfn.ACOT( _xlfn.COT(P$463)  *   SIN( ATAN(  SIN(P$463) / TAN($A487) ))  * SIGN( SIN($A487))))</f>
        <v>165</v>
      </c>
      <c r="Q487" s="249" t="n">
        <f aca="false">DEGREES( _xlfn.ACOT( _xlfn.COT(Q$463)  *   SIN( ATAN(  SIN(Q$463) / TAN($A487) ))  * SIGN( SIN($A487))))</f>
        <v>158.909418821001</v>
      </c>
      <c r="R487" s="249" t="n">
        <f aca="false">DEGREES( _xlfn.ACOT( _xlfn.COT(R$463)  *   SIN( ATAN(  SIN(R$463) / TAN($A487) ))  * SIGN( SIN($A487))))</f>
        <v>146.774057796712</v>
      </c>
      <c r="S487" s="249" t="n">
        <f aca="false">DEGREES( _xlfn.ACOT( _xlfn.COT(S$463)  *   SIN( ATAN(  SIN(S$463) / TAN($A487) ))  * SIGN( SIN($A487))))</f>
        <v>133.079517141871</v>
      </c>
      <c r="T487" s="249" t="n">
        <f aca="false">DEGREES( _xlfn.ACOT( _xlfn.COT(T$463)  *   SIN( ATAN(  SIN(T$463) / TAN($A487) ))  * SIGN( SIN($A487))))</f>
        <v>118.879094017428</v>
      </c>
      <c r="U487" s="249" t="n">
        <f aca="false">DEGREES( _xlfn.ACOT( _xlfn.COT(U$463)  *   SIN( ATAN(  SIN(U$463) / TAN($A487) ))  * SIGN( SIN($A487))))</f>
        <v>104.47751218593</v>
      </c>
      <c r="V487" s="260" t="n">
        <f aca="false">DEGREES( _xlfn.ACOT( _xlfn.COT(V$463)  *   SIN( ATAN(  SIN(V$463) / TAN($A487) ))  * SIGN( SIN($A487))))</f>
        <v>90</v>
      </c>
      <c r="W487" s="249" t="n">
        <f aca="false">DEGREES( _xlfn.ACOT( _xlfn.COT(W$463)  *   SIN( ATAN(  SIN(W$463) / TAN($A487) ))  * SIGN( SIN($A487))))</f>
        <v>75.5224878140701</v>
      </c>
      <c r="X487" s="249" t="n">
        <f aca="false">DEGREES( _xlfn.ACOT( _xlfn.COT(X$463)  *   SIN( ATAN(  SIN(X$463) / TAN($A487) ))  * SIGN( SIN($A487))))</f>
        <v>61.1209059825724</v>
      </c>
      <c r="Y487" s="249" t="n">
        <f aca="false">DEGREES( _xlfn.ACOT( _xlfn.COT(Y$463)  *   SIN( ATAN(  SIN(Y$463) / TAN($A487) ))  * SIGN( SIN($A487))))</f>
        <v>46.9204828581291</v>
      </c>
      <c r="Z487" s="249" t="n">
        <f aca="false">DEGREES( _xlfn.ACOT( _xlfn.COT(Z$463)  *   SIN( ATAN(  SIN(Z$463) / TAN($A487) ))  * SIGN( SIN($A487))))</f>
        <v>33.2259422032876</v>
      </c>
      <c r="AA487" s="249" t="n">
        <f aca="false">DEGREES( _xlfn.ACOT( _xlfn.COT(AA$463)  *   SIN( ATAN(  SIN(AA$463) / TAN($A487) ))  * SIGN( SIN($A487))))</f>
        <v>21.0905811789991</v>
      </c>
      <c r="AB487" s="260" t="n">
        <f aca="false">DEGREES( _xlfn.ACOT( _xlfn.COT(AB$463)  *   SIN( ATAN(  SIN(AB$463) / TAN($A487) ))  * SIGN( SIN($A487))))</f>
        <v>15.0000032568284</v>
      </c>
      <c r="AC487" s="195" t="e">
        <f aca="false">DEGREES( _xlfn.ACOT( _xlfn.COT(AC$463)  *   SIN( ATAN(  SIN(AC$463) / TAN($A487) ))  * SIGN( SIN($A487))))</f>
        <v>#NUM!</v>
      </c>
      <c r="AD487" s="195" t="e">
        <f aca="false">DEGREES( _xlfn.ACOT( _xlfn.COT(AD$463)  *   SIN( ATAN(  SIN(AD$463) / TAN($A487) ))  * SIGN( SIN($A487))))</f>
        <v>#NUM!</v>
      </c>
      <c r="AE487" s="1"/>
      <c r="AF487" s="1"/>
      <c r="AG487" s="1"/>
      <c r="AH487" s="1"/>
      <c r="AI487" s="1"/>
      <c r="AJ487" s="1"/>
      <c r="AK487" s="1"/>
      <c r="AL487" s="1"/>
    </row>
    <row r="488" customFormat="false" ht="12.75" hidden="false" customHeight="true" outlineLevel="0" collapsed="false">
      <c r="A488" s="193" t="n">
        <f aca="false">RADIANS(MOD(B488-180,-360)+180)</f>
        <v>-0.000174532925199274</v>
      </c>
      <c r="B488" s="198" t="n">
        <v>359.99</v>
      </c>
      <c r="C488" s="1"/>
      <c r="D488" s="260" t="n">
        <f aca="false">DEGREES( _xlfn.ACOT( _xlfn.COT(D$463)  *   SIN( ATAN(  SIN(D$463) / TAN($A488) ))  * SIGN( SIN($A488))))</f>
        <v>0.0100498756205988</v>
      </c>
      <c r="E488" s="260" t="n">
        <f aca="false">DEGREES( _xlfn.ACOT( _xlfn.COT(E$463)  *   SIN( ATAN(  SIN(E$463) / TAN($A488) ))  * SIGN( SIN($A488))))</f>
        <v>15.0000032568284</v>
      </c>
      <c r="F488" s="260" t="n">
        <f aca="false">DEGREES( _xlfn.ACOT( _xlfn.COT(F$463)  *   SIN( ATAN(  SIN(F$463) / TAN($A488) ))  * SIGN( SIN($A488))))</f>
        <v>30.0000015114994</v>
      </c>
      <c r="G488" s="260" t="n">
        <f aca="false">DEGREES( _xlfn.ACOT( _xlfn.COT(G$463)  *   SIN( ATAN(  SIN(G$463) / TAN($A488) ))  * SIGN( SIN($A488))))</f>
        <v>45.0000008726646</v>
      </c>
      <c r="H488" s="260" t="n">
        <f aca="false">DEGREES( _xlfn.ACOT( _xlfn.COT(H$463)  *   SIN( ATAN(  SIN(H$463) / TAN($A488) ))  * SIGN( SIN($A488))))</f>
        <v>60.0000005038332</v>
      </c>
      <c r="I488" s="260" t="n">
        <f aca="false">DEGREES( _xlfn.ACOT( _xlfn.COT(I$463)  *   SIN( ATAN(  SIN(I$463) / TAN($A488) ))  * SIGN( SIN($A488))))</f>
        <v>75.0000002338298</v>
      </c>
      <c r="J488" s="260" t="n">
        <f aca="false">DEGREES( _xlfn.ACOT( _xlfn.COT(J$463)  *   SIN( ATAN(  SIN(J$463) / TAN($A488) ))  * SIGN( SIN($A488))))</f>
        <v>90</v>
      </c>
      <c r="K488" s="260" t="n">
        <f aca="false">DEGREES( _xlfn.ACOT( _xlfn.COT(K$463)  *   SIN( ATAN(  SIN(K$463) / TAN($A488) ))  * SIGN( SIN($A488))))</f>
        <v>104.99999976617</v>
      </c>
      <c r="L488" s="260" t="n">
        <f aca="false">DEGREES( _xlfn.ACOT( _xlfn.COT(L$463)  *   SIN( ATAN(  SIN(L$463) / TAN($A488) ))  * SIGN( SIN($A488))))</f>
        <v>119.999999496167</v>
      </c>
      <c r="M488" s="260" t="n">
        <f aca="false">DEGREES( _xlfn.ACOT( _xlfn.COT(M$463)  *   SIN( ATAN(  SIN(M$463) / TAN($A488) ))  * SIGN( SIN($A488))))</f>
        <v>134.999999127335</v>
      </c>
      <c r="N488" s="260" t="n">
        <f aca="false">DEGREES( _xlfn.ACOT( _xlfn.COT(N$463)  *   SIN( ATAN(  SIN(N$463) / TAN($A488) ))  * SIGN( SIN($A488))))</f>
        <v>149.999998488501</v>
      </c>
      <c r="O488" s="260" t="n">
        <f aca="false">DEGREES( _xlfn.ACOT( _xlfn.COT(O$463)  *   SIN( ATAN(  SIN(O$463) / TAN($A488) ))  * SIGN( SIN($A488))))</f>
        <v>164.999996743172</v>
      </c>
      <c r="P488" s="260" t="n">
        <f aca="false">DEGREES( _xlfn.ACOT( _xlfn.COT(P$463)  *   SIN( ATAN(  SIN(P$463) / TAN($A488) ))  * SIGN( SIN($A488))))</f>
        <v>179.99</v>
      </c>
      <c r="Q488" s="260" t="n">
        <f aca="false">DEGREES( _xlfn.ACOT( _xlfn.COT(Q$463)  *   SIN( ATAN(  SIN(Q$463) / TAN($A488) ))  * SIGN( SIN($A488))))</f>
        <v>164.999996743172</v>
      </c>
      <c r="R488" s="260" t="n">
        <f aca="false">DEGREES( _xlfn.ACOT( _xlfn.COT(R$463)  *   SIN( ATAN(  SIN(R$463) / TAN($A488) ))  * SIGN( SIN($A488))))</f>
        <v>149.999998488501</v>
      </c>
      <c r="S488" s="260" t="n">
        <f aca="false">DEGREES( _xlfn.ACOT( _xlfn.COT(S$463)  *   SIN( ATAN(  SIN(S$463) / TAN($A488) ))  * SIGN( SIN($A488))))</f>
        <v>134.999999127335</v>
      </c>
      <c r="T488" s="260" t="n">
        <f aca="false">DEGREES( _xlfn.ACOT( _xlfn.COT(T$463)  *   SIN( ATAN(  SIN(T$463) / TAN($A488) ))  * SIGN( SIN($A488))))</f>
        <v>119.999999496167</v>
      </c>
      <c r="U488" s="260" t="n">
        <f aca="false">DEGREES( _xlfn.ACOT( _xlfn.COT(U$463)  *   SIN( ATAN(  SIN(U$463) / TAN($A488) ))  * SIGN( SIN($A488))))</f>
        <v>104.99999976617</v>
      </c>
      <c r="V488" s="260" t="n">
        <f aca="false">DEGREES( _xlfn.ACOT( _xlfn.COT(V$463)  *   SIN( ATAN(  SIN(V$463) / TAN($A488) ))  * SIGN( SIN($A488))))</f>
        <v>90</v>
      </c>
      <c r="W488" s="260" t="n">
        <f aca="false">DEGREES( _xlfn.ACOT( _xlfn.COT(W$463)  *   SIN( ATAN(  SIN(W$463) / TAN($A488) ))  * SIGN( SIN($A488))))</f>
        <v>75.0000002338298</v>
      </c>
      <c r="X488" s="260" t="n">
        <f aca="false">DEGREES( _xlfn.ACOT( _xlfn.COT(X$463)  *   SIN( ATAN(  SIN(X$463) / TAN($A488) ))  * SIGN( SIN($A488))))</f>
        <v>60.0000005038332</v>
      </c>
      <c r="Y488" s="260" t="n">
        <f aca="false">DEGREES( _xlfn.ACOT( _xlfn.COT(Y$463)  *   SIN( ATAN(  SIN(Y$463) / TAN($A488) ))  * SIGN( SIN($A488))))</f>
        <v>45.0000008726646</v>
      </c>
      <c r="Z488" s="260" t="n">
        <f aca="false">DEGREES( _xlfn.ACOT( _xlfn.COT(Z$463)  *   SIN( ATAN(  SIN(Z$463) / TAN($A488) ))  * SIGN( SIN($A488))))</f>
        <v>30.0000015114994</v>
      </c>
      <c r="AA488" s="260" t="n">
        <f aca="false">DEGREES( _xlfn.ACOT( _xlfn.COT(AA$463)  *   SIN( ATAN(  SIN(AA$463) / TAN($A488) ))  * SIGN( SIN($A488))))</f>
        <v>15.0000032568284</v>
      </c>
      <c r="AB488" s="260" t="n">
        <f aca="false">DEGREES( _xlfn.ACOT( _xlfn.COT(AB$463)  *   SIN( ATAN(  SIN(AB$463) / TAN($A488) ))  * SIGN( SIN($A488))))</f>
        <v>0.0141421355878128</v>
      </c>
      <c r="AC488" s="195" t="e">
        <f aca="false">DEGREES( _xlfn.ACOT( _xlfn.COT(AC$463)  *   SIN( ATAN(  SIN(AC$463) / TAN($A488) ))  * SIGN( SIN($A488))))</f>
        <v>#NUM!</v>
      </c>
      <c r="AD488" s="195" t="e">
        <f aca="false">DEGREES( _xlfn.ACOT( _xlfn.COT(AD$463)  *   SIN( ATAN(  SIN(AD$463) / TAN($A488) ))  * SIGN( SIN($A488))))</f>
        <v>#NUM!</v>
      </c>
      <c r="AE488" s="1"/>
      <c r="AF488" s="1"/>
      <c r="AG488" s="1"/>
      <c r="AH488" s="1"/>
      <c r="AI488" s="1"/>
      <c r="AJ488" s="1"/>
      <c r="AK488" s="1"/>
      <c r="AL488" s="1"/>
    </row>
    <row r="489" customFormat="false" ht="12.75" hidden="false" customHeight="true" outlineLevel="0" collapsed="false">
      <c r="A489" s="192" t="n">
        <f aca="false">RADIANS(MOD(B489-180,-360)+180)</f>
        <v>0</v>
      </c>
      <c r="B489" s="184" t="n">
        <v>360</v>
      </c>
      <c r="C489" s="1"/>
      <c r="D489" s="195" t="e">
        <f aca="false">DEGREES( _xlfn.ACOT( _xlfn.COT(D$463)  *   SIN( ATAN(  SIN(D$463) / TAN($A489) ))  * SIGN( SIN($A489))))</f>
        <v>#DIV/0!</v>
      </c>
      <c r="E489" s="195" t="e">
        <f aca="false">DEGREES( _xlfn.ACOT( _xlfn.COT(E$463)  *   SIN( ATAN(  SIN(E$463) / TAN($A489) ))  * SIGN( SIN($A489))))</f>
        <v>#DIV/0!</v>
      </c>
      <c r="F489" s="195" t="e">
        <f aca="false">DEGREES( _xlfn.ACOT( _xlfn.COT(F$463)  *   SIN( ATAN(  SIN(F$463) / TAN($A489) ))  * SIGN( SIN($A489))))</f>
        <v>#DIV/0!</v>
      </c>
      <c r="G489" s="195" t="e">
        <f aca="false">DEGREES( _xlfn.ACOT( _xlfn.COT(G$463)  *   SIN( ATAN(  SIN(G$463) / TAN($A489) ))  * SIGN( SIN($A489))))</f>
        <v>#DIV/0!</v>
      </c>
      <c r="H489" s="195" t="e">
        <f aca="false">DEGREES( _xlfn.ACOT( _xlfn.COT(H$463)  *   SIN( ATAN(  SIN(H$463) / TAN($A489) ))  * SIGN( SIN($A489))))</f>
        <v>#DIV/0!</v>
      </c>
      <c r="I489" s="195" t="e">
        <f aca="false">DEGREES( _xlfn.ACOT( _xlfn.COT(I$463)  *   SIN( ATAN(  SIN(I$463) / TAN($A489) ))  * SIGN( SIN($A489))))</f>
        <v>#DIV/0!</v>
      </c>
      <c r="J489" s="195" t="e">
        <f aca="false">DEGREES( _xlfn.ACOT( _xlfn.COT(J$463)  *   SIN( ATAN(  SIN(J$463) / TAN($A489) ))  * SIGN( SIN($A489))))</f>
        <v>#DIV/0!</v>
      </c>
      <c r="K489" s="195" t="e">
        <f aca="false">DEGREES( _xlfn.ACOT( _xlfn.COT(K$463)  *   SIN( ATAN(  SIN(K$463) / TAN($A489) ))  * SIGN( SIN($A489))))</f>
        <v>#DIV/0!</v>
      </c>
      <c r="L489" s="195" t="e">
        <f aca="false">DEGREES( _xlfn.ACOT( _xlfn.COT(L$463)  *   SIN( ATAN(  SIN(L$463) / TAN($A489) ))  * SIGN( SIN($A489))))</f>
        <v>#DIV/0!</v>
      </c>
      <c r="M489" s="195" t="e">
        <f aca="false">DEGREES( _xlfn.ACOT( _xlfn.COT(M$463)  *   SIN( ATAN(  SIN(M$463) / TAN($A489) ))  * SIGN( SIN($A489))))</f>
        <v>#DIV/0!</v>
      </c>
      <c r="N489" s="195" t="e">
        <f aca="false">DEGREES( _xlfn.ACOT( _xlfn.COT(N$463)  *   SIN( ATAN(  SIN(N$463) / TAN($A489) ))  * SIGN( SIN($A489))))</f>
        <v>#DIV/0!</v>
      </c>
      <c r="O489" s="195" t="e">
        <f aca="false">DEGREES( _xlfn.ACOT( _xlfn.COT(O$463)  *   SIN( ATAN(  SIN(O$463) / TAN($A489) ))  * SIGN( SIN($A489))))</f>
        <v>#DIV/0!</v>
      </c>
      <c r="P489" s="195" t="e">
        <f aca="false">DEGREES( _xlfn.ACOT( _xlfn.COT(P$463)  *   SIN( ATAN(  SIN(P$463) / TAN($A489) ))  * SIGN( SIN($A489))))</f>
        <v>#DIV/0!</v>
      </c>
      <c r="Q489" s="195" t="e">
        <f aca="false">DEGREES( _xlfn.ACOT( _xlfn.COT(Q$463)  *   SIN( ATAN(  SIN(Q$463) / TAN($A489) ))  * SIGN( SIN($A489))))</f>
        <v>#DIV/0!</v>
      </c>
      <c r="R489" s="195" t="e">
        <f aca="false">DEGREES( _xlfn.ACOT( _xlfn.COT(R$463)  *   SIN( ATAN(  SIN(R$463) / TAN($A489) ))  * SIGN( SIN($A489))))</f>
        <v>#DIV/0!</v>
      </c>
      <c r="S489" s="195" t="e">
        <f aca="false">DEGREES( _xlfn.ACOT( _xlfn.COT(S$463)  *   SIN( ATAN(  SIN(S$463) / TAN($A489) ))  * SIGN( SIN($A489))))</f>
        <v>#DIV/0!</v>
      </c>
      <c r="T489" s="195" t="e">
        <f aca="false">DEGREES( _xlfn.ACOT( _xlfn.COT(T$463)  *   SIN( ATAN(  SIN(T$463) / TAN($A489) ))  * SIGN( SIN($A489))))</f>
        <v>#DIV/0!</v>
      </c>
      <c r="U489" s="195" t="e">
        <f aca="false">DEGREES( _xlfn.ACOT( _xlfn.COT(U$463)  *   SIN( ATAN(  SIN(U$463) / TAN($A489) ))  * SIGN( SIN($A489))))</f>
        <v>#DIV/0!</v>
      </c>
      <c r="V489" s="195" t="e">
        <f aca="false">DEGREES( _xlfn.ACOT( _xlfn.COT(V$463)  *   SIN( ATAN(  SIN(V$463) / TAN($A489) ))  * SIGN( SIN($A489))))</f>
        <v>#DIV/0!</v>
      </c>
      <c r="W489" s="195" t="e">
        <f aca="false">DEGREES( _xlfn.ACOT( _xlfn.COT(W$463)  *   SIN( ATAN(  SIN(W$463) / TAN($A489) ))  * SIGN( SIN($A489))))</f>
        <v>#DIV/0!</v>
      </c>
      <c r="X489" s="195" t="e">
        <f aca="false">DEGREES( _xlfn.ACOT( _xlfn.COT(X$463)  *   SIN( ATAN(  SIN(X$463) / TAN($A489) ))  * SIGN( SIN($A489))))</f>
        <v>#DIV/0!</v>
      </c>
      <c r="Y489" s="195" t="e">
        <f aca="false">DEGREES( _xlfn.ACOT( _xlfn.COT(Y$463)  *   SIN( ATAN(  SIN(Y$463) / TAN($A489) ))  * SIGN( SIN($A489))))</f>
        <v>#DIV/0!</v>
      </c>
      <c r="Z489" s="195" t="e">
        <f aca="false">DEGREES( _xlfn.ACOT( _xlfn.COT(Z$463)  *   SIN( ATAN(  SIN(Z$463) / TAN($A489) ))  * SIGN( SIN($A489))))</f>
        <v>#DIV/0!</v>
      </c>
      <c r="AA489" s="195" t="e">
        <f aca="false">DEGREES( _xlfn.ACOT( _xlfn.COT(AA$463)  *   SIN( ATAN(  SIN(AA$463) / TAN($A489) ))  * SIGN( SIN($A489))))</f>
        <v>#DIV/0!</v>
      </c>
      <c r="AB489" s="195" t="e">
        <f aca="false">DEGREES( _xlfn.ACOT( _xlfn.COT(AB$463)  *   SIN( ATAN(  SIN(AB$463) / TAN($A489) ))  * SIGN( SIN($A489))))</f>
        <v>#DIV/0!</v>
      </c>
      <c r="AC489" s="195" t="e">
        <f aca="false">DEGREES( _xlfn.ACOT( _xlfn.COT(AC$463)  *   SIN( ATAN(  SIN(AC$463) / TAN($A489) ))  * SIGN( SIN($A489))))</f>
        <v>#NUM!</v>
      </c>
      <c r="AD489" s="195" t="e">
        <f aca="false">DEGREES( _xlfn.ACOT( _xlfn.COT(AD$463)  *   SIN( ATAN(  SIN(AD$463) / TAN($A489) ))  * SIGN( SIN($A489))))</f>
        <v>#NUM!</v>
      </c>
      <c r="AE489" s="1"/>
      <c r="AF489" s="1"/>
      <c r="AG489" s="1"/>
      <c r="AH489" s="1"/>
      <c r="AI489" s="1"/>
      <c r="AJ489" s="1"/>
      <c r="AK489" s="1"/>
      <c r="AL489" s="1"/>
    </row>
    <row r="490" customFormat="false" ht="12.75" hidden="false" customHeight="true" outlineLevel="0" collapsed="false">
      <c r="A490" s="192" t="n">
        <f aca="false">RADIANS(MOD(B490-180,-360)+180)</f>
        <v>0</v>
      </c>
      <c r="B490" s="184" t="n">
        <v>0</v>
      </c>
      <c r="C490" s="1"/>
      <c r="D490" s="195" t="e">
        <f aca="false">DEGREES( _xlfn.ACOT( _xlfn.COT(D$463)  *   SIN( ATAN(  SIN(D$463) / TAN($A490) ))  * SIGN( SIN($A490))))</f>
        <v>#DIV/0!</v>
      </c>
      <c r="E490" s="195" t="e">
        <f aca="false">DEGREES( _xlfn.ACOT( _xlfn.COT(E$463)  *   SIN( ATAN(  SIN(E$463) / TAN($A490) ))  * SIGN( SIN($A490))))</f>
        <v>#DIV/0!</v>
      </c>
      <c r="F490" s="195" t="e">
        <f aca="false">DEGREES( _xlfn.ACOT( _xlfn.COT(F$463)  *   SIN( ATAN(  SIN(F$463) / TAN($A490) ))  * SIGN( SIN($A490))))</f>
        <v>#DIV/0!</v>
      </c>
      <c r="G490" s="195" t="e">
        <f aca="false">DEGREES( _xlfn.ACOT( _xlfn.COT(G$463)  *   SIN( ATAN(  SIN(G$463) / TAN($A490) ))  * SIGN( SIN($A490))))</f>
        <v>#DIV/0!</v>
      </c>
      <c r="H490" s="195" t="e">
        <f aca="false">DEGREES( _xlfn.ACOT( _xlfn.COT(H$463)  *   SIN( ATAN(  SIN(H$463) / TAN($A490) ))  * SIGN( SIN($A490))))</f>
        <v>#DIV/0!</v>
      </c>
      <c r="I490" s="195" t="e">
        <f aca="false">DEGREES( _xlfn.ACOT( _xlfn.COT(I$463)  *   SIN( ATAN(  SIN(I$463) / TAN($A490) ))  * SIGN( SIN($A490))))</f>
        <v>#DIV/0!</v>
      </c>
      <c r="J490" s="195" t="e">
        <f aca="false">DEGREES( _xlfn.ACOT( _xlfn.COT(J$463)  *   SIN( ATAN(  SIN(J$463) / TAN($A490) ))  * SIGN( SIN($A490))))</f>
        <v>#DIV/0!</v>
      </c>
      <c r="K490" s="195" t="e">
        <f aca="false">DEGREES( _xlfn.ACOT( _xlfn.COT(K$463)  *   SIN( ATAN(  SIN(K$463) / TAN($A490) ))  * SIGN( SIN($A490))))</f>
        <v>#DIV/0!</v>
      </c>
      <c r="L490" s="195" t="e">
        <f aca="false">DEGREES( _xlfn.ACOT( _xlfn.COT(L$463)  *   SIN( ATAN(  SIN(L$463) / TAN($A490) ))  * SIGN( SIN($A490))))</f>
        <v>#DIV/0!</v>
      </c>
      <c r="M490" s="195" t="e">
        <f aca="false">DEGREES( _xlfn.ACOT( _xlfn.COT(M$463)  *   SIN( ATAN(  SIN(M$463) / TAN($A490) ))  * SIGN( SIN($A490))))</f>
        <v>#DIV/0!</v>
      </c>
      <c r="N490" s="195" t="e">
        <f aca="false">DEGREES( _xlfn.ACOT( _xlfn.COT(N$463)  *   SIN( ATAN(  SIN(N$463) / TAN($A490) ))  * SIGN( SIN($A490))))</f>
        <v>#DIV/0!</v>
      </c>
      <c r="O490" s="195" t="e">
        <f aca="false">DEGREES( _xlfn.ACOT( _xlfn.COT(O$463)  *   SIN( ATAN(  SIN(O$463) / TAN($A490) ))  * SIGN( SIN($A490))))</f>
        <v>#DIV/0!</v>
      </c>
      <c r="P490" s="195" t="e">
        <f aca="false">DEGREES( _xlfn.ACOT( _xlfn.COT(P$463)  *   SIN( ATAN(  SIN(P$463) / TAN($A490) ))  * SIGN( SIN($A490))))</f>
        <v>#DIV/0!</v>
      </c>
      <c r="Q490" s="195" t="e">
        <f aca="false">DEGREES( _xlfn.ACOT( _xlfn.COT(Q$463)  *   SIN( ATAN(  SIN(Q$463) / TAN($A490) ))  * SIGN( SIN($A490))))</f>
        <v>#DIV/0!</v>
      </c>
      <c r="R490" s="195" t="e">
        <f aca="false">DEGREES( _xlfn.ACOT( _xlfn.COT(R$463)  *   SIN( ATAN(  SIN(R$463) / TAN($A490) ))  * SIGN( SIN($A490))))</f>
        <v>#DIV/0!</v>
      </c>
      <c r="S490" s="195" t="e">
        <f aca="false">DEGREES( _xlfn.ACOT( _xlfn.COT(S$463)  *   SIN( ATAN(  SIN(S$463) / TAN($A490) ))  * SIGN( SIN($A490))))</f>
        <v>#DIV/0!</v>
      </c>
      <c r="T490" s="195" t="e">
        <f aca="false">DEGREES( _xlfn.ACOT( _xlfn.COT(T$463)  *   SIN( ATAN(  SIN(T$463) / TAN($A490) ))  * SIGN( SIN($A490))))</f>
        <v>#DIV/0!</v>
      </c>
      <c r="U490" s="195" t="e">
        <f aca="false">DEGREES( _xlfn.ACOT( _xlfn.COT(U$463)  *   SIN( ATAN(  SIN(U$463) / TAN($A490) ))  * SIGN( SIN($A490))))</f>
        <v>#DIV/0!</v>
      </c>
      <c r="V490" s="195" t="e">
        <f aca="false">DEGREES( _xlfn.ACOT( _xlfn.COT(V$463)  *   SIN( ATAN(  SIN(V$463) / TAN($A490) ))  * SIGN( SIN($A490))))</f>
        <v>#DIV/0!</v>
      </c>
      <c r="W490" s="195" t="e">
        <f aca="false">DEGREES( _xlfn.ACOT( _xlfn.COT(W$463)  *   SIN( ATAN(  SIN(W$463) / TAN($A490) ))  * SIGN( SIN($A490))))</f>
        <v>#DIV/0!</v>
      </c>
      <c r="X490" s="195" t="e">
        <f aca="false">DEGREES( _xlfn.ACOT( _xlfn.COT(X$463)  *   SIN( ATAN(  SIN(X$463) / TAN($A490) ))  * SIGN( SIN($A490))))</f>
        <v>#DIV/0!</v>
      </c>
      <c r="Y490" s="195" t="e">
        <f aca="false">DEGREES( _xlfn.ACOT( _xlfn.COT(Y$463)  *   SIN( ATAN(  SIN(Y$463) / TAN($A490) ))  * SIGN( SIN($A490))))</f>
        <v>#DIV/0!</v>
      </c>
      <c r="Z490" s="195" t="e">
        <f aca="false">DEGREES( _xlfn.ACOT( _xlfn.COT(Z$463)  *   SIN( ATAN(  SIN(Z$463) / TAN($A490) ))  * SIGN( SIN($A490))))</f>
        <v>#DIV/0!</v>
      </c>
      <c r="AA490" s="195" t="e">
        <f aca="false">DEGREES( _xlfn.ACOT( _xlfn.COT(AA$463)  *   SIN( ATAN(  SIN(AA$463) / TAN($A490) ))  * SIGN( SIN($A490))))</f>
        <v>#DIV/0!</v>
      </c>
      <c r="AB490" s="195" t="e">
        <f aca="false">DEGREES( _xlfn.ACOT( _xlfn.COT(AB$463)  *   SIN( ATAN(  SIN(AB$463) / TAN($A490) ))  * SIGN( SIN($A490))))</f>
        <v>#DIV/0!</v>
      </c>
      <c r="AC490" s="195" t="e">
        <f aca="false">DEGREES( _xlfn.ACOT( _xlfn.COT(AC$463)  *   SIN( ATAN(  SIN(AC$463) / TAN($A490) ))  * SIGN( SIN($A490))))</f>
        <v>#NUM!</v>
      </c>
      <c r="AD490" s="195" t="e">
        <f aca="false">DEGREES( _xlfn.ACOT( _xlfn.COT(AD$463)  *   SIN( ATAN(  SIN(AD$463) / TAN($A490) ))  * SIGN( SIN($A490))))</f>
        <v>#NUM!</v>
      </c>
      <c r="AE490" s="1"/>
      <c r="AF490" s="1"/>
      <c r="AG490" s="1"/>
      <c r="AH490" s="1"/>
      <c r="AI490" s="1"/>
      <c r="AJ490" s="1"/>
      <c r="AK490" s="1"/>
      <c r="AL490" s="1"/>
    </row>
    <row r="491" customFormat="false" ht="12.75" hidden="false" customHeight="true" outlineLevel="0" collapsed="false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customFormat="false" ht="12.75" hidden="false" customHeight="true" outlineLevel="0" collapsed="false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customFormat="false" ht="12.75" hidden="false" customHeight="true" outlineLevel="0" collapsed="false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customFormat="false" ht="12.75" hidden="false" customHeight="true" outlineLevel="0" collapsed="false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customFormat="false" ht="12.75" hidden="false" customHeight="true" outlineLevel="0" collapsed="false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customFormat="false" ht="12.75" hidden="false" customHeight="true" outlineLevel="0" collapsed="false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customFormat="false" ht="12.75" hidden="false" customHeight="true" outlineLevel="0" collapsed="false">
      <c r="A497" s="1"/>
      <c r="B497" s="1"/>
      <c r="C497" s="1"/>
      <c r="D497" s="1"/>
      <c r="E497" s="1"/>
      <c r="F497" s="1"/>
      <c r="G497" s="1"/>
      <c r="H497" s="117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customFormat="false" ht="12.75" hidden="false" customHeight="true" outlineLevel="0" collapsed="false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customFormat="false" ht="12.75" hidden="false" customHeight="true" outlineLevel="0" collapsed="false">
      <c r="A499" s="1"/>
      <c r="B499" s="1"/>
      <c r="C499" s="1"/>
      <c r="D499" s="1"/>
      <c r="E499" s="1"/>
      <c r="F499" s="1"/>
      <c r="G499" s="224"/>
      <c r="H499" s="1"/>
      <c r="I499" s="117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customFormat="false" ht="12.75" hidden="false" customHeight="true" outlineLevel="0" collapsed="false">
      <c r="A500" s="1"/>
      <c r="B500" s="1"/>
      <c r="C500" s="1"/>
      <c r="D500" s="1"/>
      <c r="E500" s="1"/>
      <c r="F500" s="1"/>
      <c r="G500" s="224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customFormat="false" ht="12.75" hidden="false" customHeight="true" outlineLevel="0" collapsed="false">
      <c r="A501" s="163"/>
      <c r="B501" s="1"/>
      <c r="C501" s="1"/>
      <c r="D501" s="1"/>
      <c r="E501" s="1"/>
      <c r="F501" s="1"/>
      <c r="G501" s="1"/>
      <c r="H501" s="53"/>
      <c r="I501" s="53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customFormat="false" ht="12.75" hidden="false" customHeight="true" outlineLevel="0" collapsed="false">
      <c r="A502" s="163"/>
      <c r="B502" s="1"/>
      <c r="C502" s="1"/>
      <c r="D502" s="1"/>
      <c r="E502" s="1"/>
      <c r="F502" s="1"/>
      <c r="G502" s="1"/>
      <c r="H502" s="1"/>
      <c r="I502" s="53"/>
      <c r="J502" s="1"/>
      <c r="K502" s="1"/>
      <c r="L502" s="1"/>
      <c r="M502" s="1"/>
      <c r="N502" s="53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customFormat="false" ht="12.75" hidden="false" customHeight="true" outlineLevel="0" collapsed="false">
      <c r="A503" s="1"/>
      <c r="B503" s="1"/>
      <c r="C503" s="1"/>
      <c r="D503" s="1"/>
      <c r="E503" s="1"/>
      <c r="F503" s="1"/>
      <c r="G503" s="164"/>
      <c r="H503" s="1"/>
      <c r="I503" s="53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customFormat="false" ht="23.8" hidden="false" customHeight="true" outlineLevel="0" collapsed="false">
      <c r="A504" s="1"/>
      <c r="B504" s="1"/>
      <c r="C504" s="261" t="s">
        <v>267</v>
      </c>
      <c r="D504" s="262"/>
      <c r="E504" s="231"/>
      <c r="F504" s="1"/>
      <c r="G504" s="1"/>
      <c r="H504" s="1"/>
      <c r="I504" s="53"/>
      <c r="J504" s="117"/>
      <c r="K504" s="16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customFormat="false" ht="23.8" hidden="false" customHeight="true" outlineLevel="0" collapsed="false">
      <c r="A505" s="1"/>
      <c r="B505" s="1"/>
      <c r="C505" s="174"/>
      <c r="D505" s="170"/>
      <c r="E505" s="171"/>
      <c r="F505" s="170"/>
      <c r="G505" s="170"/>
      <c r="H505" s="171"/>
      <c r="I505" s="171"/>
      <c r="J505" s="171"/>
      <c r="K505" s="171"/>
      <c r="L505" s="170"/>
      <c r="M505" s="1"/>
      <c r="N505" s="1"/>
      <c r="O505" s="1"/>
      <c r="P505" s="1"/>
      <c r="Q505" s="166" t="s">
        <v>251</v>
      </c>
      <c r="R505" s="167"/>
      <c r="S505" s="169"/>
      <c r="T505" s="237" t="s">
        <v>252</v>
      </c>
      <c r="U505" s="1"/>
      <c r="V505" s="1"/>
      <c r="W505" s="1"/>
      <c r="X505" s="1"/>
      <c r="Y505" s="1"/>
      <c r="Z505" s="201" t="s">
        <v>165</v>
      </c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customFormat="false" ht="23.8" hidden="false" customHeight="true" outlineLevel="0" collapsed="false">
      <c r="A506" s="172" t="s">
        <v>163</v>
      </c>
      <c r="B506" s="1"/>
      <c r="C506" s="173"/>
      <c r="D506" s="174" t="s">
        <v>268</v>
      </c>
      <c r="E506" s="171"/>
      <c r="F506" s="170"/>
      <c r="G506" s="171"/>
      <c r="H506" s="175" t="s">
        <v>119</v>
      </c>
      <c r="I506" s="170"/>
      <c r="J506" s="170"/>
      <c r="K506" s="170"/>
      <c r="L506" s="170"/>
      <c r="M506" s="1"/>
      <c r="N506" s="1"/>
      <c r="O506" s="1"/>
      <c r="P506" s="1"/>
      <c r="Q506" s="238" t="s">
        <v>165</v>
      </c>
      <c r="R506" s="170"/>
      <c r="S506" s="239"/>
      <c r="T506" s="170"/>
      <c r="U506" s="170"/>
      <c r="V506" s="1"/>
      <c r="W506" s="1"/>
      <c r="X506" s="1"/>
      <c r="Y506" s="1"/>
      <c r="Z506" s="1"/>
      <c r="AA506" s="1"/>
      <c r="AB506" s="1"/>
      <c r="AC506" s="1"/>
      <c r="AD506" s="1"/>
      <c r="AE506" s="240" t="s">
        <v>165</v>
      </c>
      <c r="AF506" s="170"/>
      <c r="AG506" s="241"/>
      <c r="AH506" s="259"/>
      <c r="AI506" s="170"/>
      <c r="AJ506" s="170"/>
      <c r="AK506" s="170"/>
      <c r="AL506" s="170"/>
    </row>
    <row r="507" customFormat="false" ht="23.8" hidden="false" customHeight="true" outlineLevel="0" collapsed="false">
      <c r="A507" s="172" t="s">
        <v>166</v>
      </c>
      <c r="B507" s="1"/>
      <c r="C507" s="170"/>
      <c r="D507" s="177"/>
      <c r="E507" s="171"/>
      <c r="F507" s="170"/>
      <c r="G507" s="170"/>
      <c r="H507" s="170"/>
      <c r="I507" s="170"/>
      <c r="J507" s="170"/>
      <c r="K507" s="170"/>
      <c r="L507" s="170"/>
      <c r="M507" s="1"/>
      <c r="N507" s="263"/>
      <c r="O507" s="1"/>
      <c r="P507" s="1"/>
      <c r="Q507" s="242"/>
      <c r="R507" s="243" t="s">
        <v>255</v>
      </c>
      <c r="S507" s="170"/>
      <c r="T507" s="170"/>
      <c r="U507" s="170"/>
      <c r="V507" s="1"/>
      <c r="W507" s="1"/>
      <c r="X507" s="1"/>
      <c r="Y507" s="1"/>
      <c r="Z507" s="1"/>
      <c r="AA507" s="1"/>
      <c r="AB507" s="1"/>
      <c r="AC507" s="1"/>
      <c r="AD507" s="1"/>
      <c r="AE507" s="244" t="s">
        <v>269</v>
      </c>
      <c r="AF507" s="244"/>
      <c r="AG507" s="170"/>
      <c r="AH507" s="170"/>
      <c r="AI507" s="170"/>
      <c r="AJ507" s="170"/>
      <c r="AK507" s="170"/>
      <c r="AL507" s="170"/>
    </row>
    <row r="508" customFormat="false" ht="23.8" hidden="false" customHeight="true" outlineLevel="0" collapsed="false">
      <c r="A508" s="1"/>
      <c r="B508" s="1"/>
      <c r="C508" s="170"/>
      <c r="D508" s="177"/>
      <c r="E508" s="171"/>
      <c r="F508" s="177" t="s">
        <v>270</v>
      </c>
      <c r="G508" s="170"/>
      <c r="H508" s="175"/>
      <c r="I508" s="170"/>
      <c r="J508" s="170"/>
      <c r="K508" s="170"/>
      <c r="L508" s="170"/>
      <c r="M508" s="1"/>
      <c r="N508" s="179"/>
      <c r="O508" s="1"/>
      <c r="P508" s="1"/>
      <c r="Q508" s="170"/>
      <c r="R508" s="170"/>
      <c r="S508" s="170"/>
      <c r="T508" s="170"/>
      <c r="U508" s="170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255"/>
      <c r="AG508" s="1"/>
      <c r="AH508" s="246"/>
      <c r="AI508" s="1"/>
      <c r="AJ508" s="1"/>
      <c r="AK508" s="1"/>
      <c r="AL508" s="1"/>
    </row>
    <row r="509" customFormat="false" ht="23.8" hidden="false" customHeight="true" outlineLevel="0" collapsed="false">
      <c r="A509" s="1"/>
      <c r="B509" s="1"/>
      <c r="C509" s="170"/>
      <c r="D509" s="177"/>
      <c r="E509" s="171"/>
      <c r="F509" s="170"/>
      <c r="G509" s="170"/>
      <c r="H509" s="170"/>
      <c r="I509" s="170"/>
      <c r="J509" s="170"/>
      <c r="K509" s="170"/>
      <c r="L509" s="170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customFormat="false" ht="23.8" hidden="false" customHeight="true" outlineLevel="0" collapsed="false">
      <c r="A510" s="1"/>
      <c r="B510" s="1"/>
      <c r="C510" s="170"/>
      <c r="D510" s="173"/>
      <c r="E510" s="170"/>
      <c r="F510" s="170"/>
      <c r="G510" s="170"/>
      <c r="H510" s="170"/>
      <c r="I510" s="170"/>
      <c r="J510" s="170"/>
      <c r="K510" s="170"/>
      <c r="L510" s="170"/>
      <c r="M510" s="1"/>
      <c r="N510" s="18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customFormat="false" ht="19.3" hidden="false" customHeight="true" outlineLevel="0" collapsed="false">
      <c r="A511" s="1"/>
      <c r="B511" s="1"/>
      <c r="C511" s="1"/>
      <c r="D511" s="1"/>
      <c r="E511" s="131"/>
      <c r="F511" s="131"/>
      <c r="G511" s="131"/>
      <c r="H511" s="131"/>
      <c r="I511" s="1"/>
      <c r="J511" s="1"/>
      <c r="K511" s="1"/>
      <c r="L511" s="1"/>
      <c r="M511" s="1"/>
      <c r="N511" s="1"/>
      <c r="O511" s="1"/>
      <c r="P511" s="1"/>
      <c r="Q511" s="182" t="n">
        <v>195</v>
      </c>
      <c r="R511" s="182" t="n">
        <v>210</v>
      </c>
      <c r="S511" s="182" t="n">
        <v>225</v>
      </c>
      <c r="T511" s="182" t="n">
        <v>240</v>
      </c>
      <c r="U511" s="182" t="n">
        <v>255</v>
      </c>
      <c r="V511" s="182" t="n">
        <v>270</v>
      </c>
      <c r="W511" s="182" t="n">
        <v>285</v>
      </c>
      <c r="X511" s="182" t="n">
        <v>300</v>
      </c>
      <c r="Y511" s="182" t="n">
        <v>315</v>
      </c>
      <c r="Z511" s="182" t="n">
        <v>330</v>
      </c>
      <c r="AA511" s="182" t="n">
        <v>345</v>
      </c>
      <c r="AB511" s="183" t="n">
        <v>359.99</v>
      </c>
      <c r="AC511" s="184" t="n">
        <v>360</v>
      </c>
      <c r="AD511" s="185" t="s">
        <v>169</v>
      </c>
      <c r="AE511" s="1"/>
      <c r="AF511" s="1"/>
      <c r="AG511" s="1"/>
      <c r="AH511" s="1"/>
      <c r="AI511" s="1"/>
      <c r="AJ511" s="1"/>
      <c r="AK511" s="1"/>
      <c r="AL511" s="1"/>
    </row>
    <row r="512" customFormat="false" ht="19.3" hidden="false" customHeight="true" outlineLevel="0" collapsed="false">
      <c r="A512" s="1"/>
      <c r="B512" s="186"/>
      <c r="C512" s="187" t="s">
        <v>171</v>
      </c>
      <c r="D512" s="188" t="n">
        <v>0.001</v>
      </c>
      <c r="E512" s="182" t="n">
        <v>15</v>
      </c>
      <c r="F512" s="182" t="n">
        <v>30</v>
      </c>
      <c r="G512" s="182" t="n">
        <v>45</v>
      </c>
      <c r="H512" s="182" t="n">
        <v>60</v>
      </c>
      <c r="I512" s="182" t="n">
        <v>75</v>
      </c>
      <c r="J512" s="182" t="n">
        <v>90</v>
      </c>
      <c r="K512" s="182" t="n">
        <v>105</v>
      </c>
      <c r="L512" s="182" t="n">
        <v>120</v>
      </c>
      <c r="M512" s="182" t="n">
        <v>135</v>
      </c>
      <c r="N512" s="182" t="n">
        <v>150</v>
      </c>
      <c r="O512" s="182" t="n">
        <v>165</v>
      </c>
      <c r="P512" s="182" t="n">
        <v>180</v>
      </c>
      <c r="Q512" s="189" t="n">
        <v>-165</v>
      </c>
      <c r="R512" s="189" t="n">
        <v>-150</v>
      </c>
      <c r="S512" s="189" t="n">
        <v>-135</v>
      </c>
      <c r="T512" s="189" t="n">
        <v>-120</v>
      </c>
      <c r="U512" s="189" t="n">
        <v>-105</v>
      </c>
      <c r="V512" s="189" t="n">
        <v>-90</v>
      </c>
      <c r="W512" s="189" t="n">
        <v>-75</v>
      </c>
      <c r="X512" s="189" t="n">
        <v>-60</v>
      </c>
      <c r="Y512" s="189" t="n">
        <v>-45</v>
      </c>
      <c r="Z512" s="189" t="n">
        <v>-30</v>
      </c>
      <c r="AA512" s="189" t="n">
        <v>-15</v>
      </c>
      <c r="AB512" s="183" t="n">
        <v>-0.01</v>
      </c>
      <c r="AC512" s="184" t="n">
        <v>0</v>
      </c>
      <c r="AD512" s="184" t="n">
        <v>0</v>
      </c>
      <c r="AE512" s="1"/>
      <c r="AF512" s="1"/>
      <c r="AG512" s="1"/>
      <c r="AH512" s="1"/>
      <c r="AI512" s="1"/>
      <c r="AJ512" s="1"/>
      <c r="AK512" s="1"/>
      <c r="AL512" s="1"/>
    </row>
    <row r="513" customFormat="false" ht="19.3" hidden="false" customHeight="true" outlineLevel="0" collapsed="false">
      <c r="A513" s="190"/>
      <c r="B513" s="191" t="s">
        <v>173</v>
      </c>
      <c r="C513" s="1"/>
      <c r="D513" s="192" t="n">
        <f aca="false">RADIANS(MOD(D512-180,-360)+180)</f>
        <v>1.74532925200266E-005</v>
      </c>
      <c r="E513" s="192" t="n">
        <f aca="false">RADIANS(MOD(E512-180,-360)+180)</f>
        <v>0.261799387799149</v>
      </c>
      <c r="F513" s="192" t="n">
        <f aca="false">RADIANS(MOD(F512-180,-360)+180)</f>
        <v>0.523598775598299</v>
      </c>
      <c r="G513" s="192" t="n">
        <f aca="false">RADIANS(MOD(G512-180,-360)+180)</f>
        <v>0.785398163397448</v>
      </c>
      <c r="H513" s="192" t="n">
        <f aca="false">RADIANS(MOD(H512-180,-360)+180)</f>
        <v>1.0471975511966</v>
      </c>
      <c r="I513" s="192" t="n">
        <f aca="false">RADIANS(MOD(I512-180,-360)+180)</f>
        <v>1.30899693899575</v>
      </c>
      <c r="J513" s="192" t="n">
        <f aca="false">RADIANS(MOD(J512-180,-360)+180)</f>
        <v>1.5707963267949</v>
      </c>
      <c r="K513" s="192" t="n">
        <f aca="false">RADIANS(MOD(K512-180,-360)+180)</f>
        <v>1.83259571459405</v>
      </c>
      <c r="L513" s="192" t="n">
        <f aca="false">RADIANS(MOD(L512-180,-360)+180)</f>
        <v>2.0943951023932</v>
      </c>
      <c r="M513" s="192" t="n">
        <f aca="false">RADIANS(MOD(M512-180,-360)+180)</f>
        <v>2.35619449019234</v>
      </c>
      <c r="N513" s="192" t="n">
        <f aca="false">RADIANS(MOD(N512-180,-360)+180)</f>
        <v>2.61799387799149</v>
      </c>
      <c r="O513" s="192" t="n">
        <f aca="false">RADIANS(MOD(O512-180,-360)+180)</f>
        <v>2.87979326579064</v>
      </c>
      <c r="P513" s="192" t="n">
        <f aca="false">RADIANS(MOD(P512-180,-360)+180)</f>
        <v>3.14159265358979</v>
      </c>
      <c r="Q513" s="193" t="n">
        <f aca="false">RADIANS(MOD(Q512-180,-360)+180)</f>
        <v>-2.87979326579064</v>
      </c>
      <c r="R513" s="193" t="n">
        <f aca="false">RADIANS(MOD(R512-180,-360)+180)</f>
        <v>-2.61799387799149</v>
      </c>
      <c r="S513" s="193" t="n">
        <f aca="false">RADIANS(MOD(S512-180,-360)+180)</f>
        <v>-2.35619449019234</v>
      </c>
      <c r="T513" s="193" t="n">
        <f aca="false">RADIANS(MOD(T512-180,-360)+180)</f>
        <v>-2.0943951023932</v>
      </c>
      <c r="U513" s="193" t="n">
        <f aca="false">RADIANS(MOD(U512-180,-360)+180)</f>
        <v>-1.83259571459405</v>
      </c>
      <c r="V513" s="193" t="n">
        <f aca="false">RADIANS(MOD(V512-180,-360)+180)</f>
        <v>-1.5707963267949</v>
      </c>
      <c r="W513" s="193" t="n">
        <f aca="false">RADIANS(MOD(W512-180,-360)+180)</f>
        <v>-1.30899693899575</v>
      </c>
      <c r="X513" s="193" t="n">
        <f aca="false">RADIANS(MOD(X512-180,-360)+180)</f>
        <v>-1.0471975511966</v>
      </c>
      <c r="Y513" s="193" t="n">
        <f aca="false">RADIANS(MOD(Y512-180,-360)+180)</f>
        <v>-0.785398163397448</v>
      </c>
      <c r="Z513" s="193" t="n">
        <f aca="false">RADIANS(MOD(Z512-180,-360)+180)</f>
        <v>-0.523598775598299</v>
      </c>
      <c r="AA513" s="193" t="n">
        <f aca="false">RADIANS(MOD(AA512-180,-360)+180)</f>
        <v>-0.261799387799149</v>
      </c>
      <c r="AB513" s="193" t="n">
        <f aca="false">RADIANS(MOD(AB512-180,-360)+180)</f>
        <v>-0.000174532925199274</v>
      </c>
      <c r="AC513" s="193" t="n">
        <f aca="false">RADIANS(MOD(AC512-180,-360)+180)</f>
        <v>0</v>
      </c>
      <c r="AD513" s="193" t="n">
        <f aca="false">RADIANS(MOD(AD512-180,-360)+180)</f>
        <v>0</v>
      </c>
      <c r="AE513" s="1"/>
      <c r="AF513" s="1"/>
      <c r="AG513" s="1"/>
      <c r="AH513" s="1"/>
      <c r="AI513" s="1"/>
      <c r="AJ513" s="1"/>
      <c r="AK513" s="1"/>
      <c r="AL513" s="1"/>
    </row>
    <row r="514" customFormat="false" ht="12.75" hidden="false" customHeight="true" outlineLevel="0" collapsed="false">
      <c r="A514" s="192" t="n">
        <f aca="false">RADIANS(MOD(B514-180,-360)+180)</f>
        <v>1.74532925200266E-005</v>
      </c>
      <c r="B514" s="188" t="n">
        <v>0.001</v>
      </c>
      <c r="C514" s="1"/>
      <c r="D514" s="264" t="n">
        <f aca="false">DEGREES( _xlfn.ACOT( _xlfn.COT(D$513)  *  COS(  _xlfn.ACOT( SIN(D$513)  /  TAN($A514)    ))))</f>
        <v>0.00141421356234477</v>
      </c>
      <c r="E514" s="264" t="n">
        <f aca="false">DEGREES( _xlfn.ACOT( _xlfn.COT(E$513)  *  COS(  _xlfn.ACOT( SIN(E$513)  /  TAN($A514)    ))))</f>
        <v>15.0000000325683</v>
      </c>
      <c r="F514" s="264" t="n">
        <f aca="false">DEGREES( _xlfn.ACOT( _xlfn.COT(F$513)  *  COS(  _xlfn.ACOT( SIN(F$513)  /  TAN($A514)    ))))</f>
        <v>30.000000015115</v>
      </c>
      <c r="G514" s="264" t="n">
        <f aca="false">DEGREES( _xlfn.ACOT( _xlfn.COT(G$513)  *  COS(  _xlfn.ACOT( SIN(G$513)  /  TAN($A514)    ))))</f>
        <v>45.0000000087266</v>
      </c>
      <c r="H514" s="264" t="n">
        <f aca="false">DEGREES( _xlfn.ACOT( _xlfn.COT(H$513)  *  COS(  _xlfn.ACOT( SIN(H$513)  /  TAN($A514)    ))))</f>
        <v>60.0000000050383</v>
      </c>
      <c r="I514" s="264" t="n">
        <f aca="false">DEGREES( _xlfn.ACOT( _xlfn.COT(I$513)  *  COS(  _xlfn.ACOT( SIN(I$513)  /  TAN($A514)    ))))</f>
        <v>75.0000000023383</v>
      </c>
      <c r="J514" s="264" t="n">
        <f aca="false">DEGREES( _xlfn.ACOT( _xlfn.COT(J$513)  *  COS(  _xlfn.ACOT( SIN(J$513)  /  TAN($A514)    ))))</f>
        <v>90</v>
      </c>
      <c r="K514" s="264" t="n">
        <f aca="false">DEGREES( _xlfn.ACOT( _xlfn.COT(K$513)  *  COS(  _xlfn.ACOT( SIN(K$513)  /  TAN($A514)    ))))</f>
        <v>104.999999997662</v>
      </c>
      <c r="L514" s="264" t="n">
        <f aca="false">DEGREES( _xlfn.ACOT( _xlfn.COT(L$513)  *  COS(  _xlfn.ACOT( SIN(L$513)  /  TAN($A514)    ))))</f>
        <v>119.999999994962</v>
      </c>
      <c r="M514" s="264" t="n">
        <f aca="false">DEGREES( _xlfn.ACOT( _xlfn.COT(M$513)  *  COS(  _xlfn.ACOT( SIN(M$513)  /  TAN($A514)    ))))</f>
        <v>134.999999991273</v>
      </c>
      <c r="N514" s="264" t="n">
        <f aca="false">DEGREES( _xlfn.ACOT( _xlfn.COT(N$513)  *  COS(  _xlfn.ACOT( SIN(N$513)  /  TAN($A514)    ))))</f>
        <v>149.999999984885</v>
      </c>
      <c r="O514" s="264" t="n">
        <f aca="false">DEGREES( _xlfn.ACOT( _xlfn.COT(O$513)  *  COS(  _xlfn.ACOT( SIN(O$513)  /  TAN($A514)    ))))</f>
        <v>164.999999967432</v>
      </c>
      <c r="P514" s="264" t="n">
        <f aca="false">DEGREES( _xlfn.ACOT( _xlfn.COT(P$513)  *  COS(  _xlfn.ACOT( SIN(P$513)  /  TAN($A514)    ))))</f>
        <v>179.998999994506</v>
      </c>
      <c r="Q514" s="264" t="n">
        <f aca="false">DEGREES( _xlfn.ACOT( _xlfn.COT(Q$513)  *  COS(  _xlfn.ACOT( SIN(Q$513)  /  TAN($A514)    ))))</f>
        <v>164.999999967432</v>
      </c>
      <c r="R514" s="264" t="n">
        <f aca="false">DEGREES( _xlfn.ACOT( _xlfn.COT(R$513)  *  COS(  _xlfn.ACOT( SIN(R$513)  /  TAN($A514)    ))))</f>
        <v>149.999999984885</v>
      </c>
      <c r="S514" s="264" t="n">
        <f aca="false">DEGREES( _xlfn.ACOT( _xlfn.COT(S$513)  *  COS(  _xlfn.ACOT( SIN(S$513)  /  TAN($A514)    ))))</f>
        <v>134.999999991273</v>
      </c>
      <c r="T514" s="264" t="n">
        <f aca="false">DEGREES( _xlfn.ACOT( _xlfn.COT(T$513)  *  COS(  _xlfn.ACOT( SIN(T$513)  /  TAN($A514)    ))))</f>
        <v>119.999999994962</v>
      </c>
      <c r="U514" s="264" t="n">
        <f aca="false">DEGREES( _xlfn.ACOT( _xlfn.COT(U$513)  *  COS(  _xlfn.ACOT( SIN(U$513)  /  TAN($A514)    ))))</f>
        <v>104.999999997662</v>
      </c>
      <c r="V514" s="264" t="n">
        <f aca="false">DEGREES( _xlfn.ACOT( _xlfn.COT(V$513)  *  COS(  _xlfn.ACOT( SIN(V$513)  /  TAN($A514)    ))))</f>
        <v>90</v>
      </c>
      <c r="W514" s="264" t="n">
        <f aca="false">DEGREES( _xlfn.ACOT( _xlfn.COT(W$513)  *  COS(  _xlfn.ACOT( SIN(W$513)  /  TAN($A514)    ))))</f>
        <v>75.0000000023383</v>
      </c>
      <c r="X514" s="264" t="n">
        <f aca="false">DEGREES( _xlfn.ACOT( _xlfn.COT(X$513)  *  COS(  _xlfn.ACOT( SIN(X$513)  /  TAN($A514)    ))))</f>
        <v>60.0000000050383</v>
      </c>
      <c r="Y514" s="264" t="n">
        <f aca="false">DEGREES( _xlfn.ACOT( _xlfn.COT(Y$513)  *  COS(  _xlfn.ACOT( SIN(Y$513)  /  TAN($A514)    ))))</f>
        <v>45.0000000087266</v>
      </c>
      <c r="Z514" s="264" t="n">
        <f aca="false">DEGREES( _xlfn.ACOT( _xlfn.COT(Z$513)  *  COS(  _xlfn.ACOT( SIN(Z$513)  /  TAN($A514)    ))))</f>
        <v>30.000000015115</v>
      </c>
      <c r="AA514" s="264" t="n">
        <f aca="false">DEGREES( _xlfn.ACOT( _xlfn.COT(AA$513)  *  COS(  _xlfn.ACOT( SIN(AA$513)  /  TAN($A514)    ))))</f>
        <v>15.0000000325683</v>
      </c>
      <c r="AB514" s="264" t="n">
        <f aca="false">DEGREES( _xlfn.ACOT( _xlfn.COT(AB$513)  *  COS(  _xlfn.ACOT( SIN(AB$513)  /  TAN($A514)    ))))</f>
        <v>0.0100498756205988</v>
      </c>
      <c r="AC514" s="195" t="e">
        <f aca="false">DEGREES( _xlfn.ACOT( _xlfn.COT(AC$513)  *  COS(  _xlfn.ACOT( SIN(AC$513)  /  TAN($A514)    ))  *  SIGN( SIN($A514))))</f>
        <v>#NUM!</v>
      </c>
      <c r="AD514" s="195" t="e">
        <f aca="false">DEGREES( _xlfn.ACOT( _xlfn.COT(AD$513)  *  COS(  _xlfn.ACOT( SIN(AD$513)  /  TAN($A514)    ))  *  SIGN( SIN($A514))))</f>
        <v>#NUM!</v>
      </c>
      <c r="AE514" s="1"/>
      <c r="AF514" s="1"/>
      <c r="AG514" s="1"/>
      <c r="AH514" s="1"/>
      <c r="AI514" s="1"/>
      <c r="AJ514" s="1"/>
      <c r="AK514" s="1"/>
      <c r="AL514" s="1"/>
    </row>
    <row r="515" customFormat="false" ht="12.75" hidden="false" customHeight="true" outlineLevel="0" collapsed="false">
      <c r="A515" s="192" t="n">
        <f aca="false">RADIANS(MOD(B515-180,-360)+180)</f>
        <v>0.261799387799149</v>
      </c>
      <c r="B515" s="182" t="n">
        <v>15</v>
      </c>
      <c r="C515" s="1"/>
      <c r="D515" s="264" t="n">
        <f aca="false">DEGREES( _xlfn.ACOT( _xlfn.COT(D$513)  *  COS(  _xlfn.ACOT( SIN(D$513)  /  TAN($A515)    ))))</f>
        <v>15.000000032549</v>
      </c>
      <c r="E515" s="210" t="n">
        <f aca="false">DEGREES( _xlfn.ACOT( _xlfn.COT(E$513)  *  COS(  _xlfn.ACOT( SIN(E$513)  /  TAN($A515)    ))))</f>
        <v>21.0905811789991</v>
      </c>
      <c r="F515" s="210" t="n">
        <f aca="false">DEGREES( _xlfn.ACOT( _xlfn.COT(F$513)  *  COS(  _xlfn.ACOT( SIN(F$513)  /  TAN($A515)    ))))</f>
        <v>33.2259422032876</v>
      </c>
      <c r="G515" s="210" t="n">
        <f aca="false">DEGREES( _xlfn.ACOT( _xlfn.COT(G$513)  *  COS(  _xlfn.ACOT( SIN(G$513)  /  TAN($A515)    ))))</f>
        <v>46.9204828581291</v>
      </c>
      <c r="H515" s="210" t="n">
        <f aca="false">DEGREES( _xlfn.ACOT( _xlfn.COT(H$513)  *  COS(  _xlfn.ACOT( SIN(H$513)  /  TAN($A515)    ))))</f>
        <v>61.1209059825724</v>
      </c>
      <c r="I515" s="210" t="n">
        <f aca="false">DEGREES( _xlfn.ACOT( _xlfn.COT(I$513)  *  COS(  _xlfn.ACOT( SIN(I$513)  /  TAN($A515)    ))))</f>
        <v>75.5224878140701</v>
      </c>
      <c r="J515" s="264" t="n">
        <f aca="false">DEGREES( _xlfn.ACOT( _xlfn.COT(J$513)  *  COS(  _xlfn.ACOT( SIN(J$513)  /  TAN($A515)    ))))</f>
        <v>90</v>
      </c>
      <c r="K515" s="210" t="n">
        <f aca="false">DEGREES( _xlfn.ACOT( _xlfn.COT(K$513)  *  COS(  _xlfn.ACOT( SIN(K$513)  /  TAN($A515)    ))))</f>
        <v>104.47751218593</v>
      </c>
      <c r="L515" s="210" t="n">
        <f aca="false">DEGREES( _xlfn.ACOT( _xlfn.COT(L$513)  *  COS(  _xlfn.ACOT( SIN(L$513)  /  TAN($A515)    ))))</f>
        <v>118.879094017428</v>
      </c>
      <c r="M515" s="210" t="n">
        <f aca="false">DEGREES( _xlfn.ACOT( _xlfn.COT(M$513)  *  COS(  _xlfn.ACOT( SIN(M$513)  /  TAN($A515)    ))))</f>
        <v>133.079517141871</v>
      </c>
      <c r="N515" s="210" t="n">
        <f aca="false">DEGREES( _xlfn.ACOT( _xlfn.COT(N$513)  *  COS(  _xlfn.ACOT( SIN(N$513)  /  TAN($A515)    ))))</f>
        <v>146.774057796712</v>
      </c>
      <c r="O515" s="210" t="n">
        <f aca="false">DEGREES( _xlfn.ACOT( _xlfn.COT(O$513)  *  COS(  _xlfn.ACOT( SIN(O$513)  /  TAN($A515)    ))))</f>
        <v>158.909418821001</v>
      </c>
      <c r="P515" s="264" t="n">
        <f aca="false">DEGREES( _xlfn.ACOT( _xlfn.COT(P$513)  *  COS(  _xlfn.ACOT( SIN(P$513)  /  TAN($A515)    ))))</f>
        <v>166.377022621613</v>
      </c>
      <c r="Q515" s="210" t="n">
        <f aca="false">DEGREES( _xlfn.ACOT( _xlfn.COT(Q$513)  *  COS(  _xlfn.ACOT( SIN(Q$513)  /  TAN($A515)    ))))</f>
        <v>158.909418821001</v>
      </c>
      <c r="R515" s="210" t="n">
        <f aca="false">DEGREES( _xlfn.ACOT( _xlfn.COT(R$513)  *  COS(  _xlfn.ACOT( SIN(R$513)  /  TAN($A515)    ))))</f>
        <v>146.774057796712</v>
      </c>
      <c r="S515" s="210" t="n">
        <f aca="false">DEGREES( _xlfn.ACOT( _xlfn.COT(S$513)  *  COS(  _xlfn.ACOT( SIN(S$513)  /  TAN($A515)    ))))</f>
        <v>133.079517141871</v>
      </c>
      <c r="T515" s="210" t="n">
        <f aca="false">DEGREES( _xlfn.ACOT( _xlfn.COT(T$513)  *  COS(  _xlfn.ACOT( SIN(T$513)  /  TAN($A515)    ))))</f>
        <v>118.879094017428</v>
      </c>
      <c r="U515" s="210" t="n">
        <f aca="false">DEGREES( _xlfn.ACOT( _xlfn.COT(U$513)  *  COS(  _xlfn.ACOT( SIN(U$513)  /  TAN($A515)    ))))</f>
        <v>104.47751218593</v>
      </c>
      <c r="V515" s="264" t="n">
        <f aca="false">DEGREES( _xlfn.ACOT( _xlfn.COT(V$513)  *  COS(  _xlfn.ACOT( SIN(V$513)  /  TAN($A515)    ))))</f>
        <v>90</v>
      </c>
      <c r="W515" s="210" t="n">
        <f aca="false">DEGREES( _xlfn.ACOT( _xlfn.COT(W$513)  *  COS(  _xlfn.ACOT( SIN(W$513)  /  TAN($A515)    ))))</f>
        <v>75.5224878140701</v>
      </c>
      <c r="X515" s="210" t="n">
        <f aca="false">DEGREES( _xlfn.ACOT( _xlfn.COT(X$513)  *  COS(  _xlfn.ACOT( SIN(X$513)  /  TAN($A515)    ))))</f>
        <v>61.1209059825724</v>
      </c>
      <c r="Y515" s="210" t="n">
        <f aca="false">DEGREES( _xlfn.ACOT( _xlfn.COT(Y$513)  *  COS(  _xlfn.ACOT( SIN(Y$513)  /  TAN($A515)    ))))</f>
        <v>46.9204828581291</v>
      </c>
      <c r="Z515" s="210" t="n">
        <f aca="false">DEGREES( _xlfn.ACOT( _xlfn.COT(Z$513)  *  COS(  _xlfn.ACOT( SIN(Z$513)  /  TAN($A515)    ))))</f>
        <v>33.2259422032876</v>
      </c>
      <c r="AA515" s="210" t="n">
        <f aca="false">DEGREES( _xlfn.ACOT( _xlfn.COT(AA$513)  *  COS(  _xlfn.ACOT( SIN(AA$513)  /  TAN($A515)    ))))</f>
        <v>21.0905811789991</v>
      </c>
      <c r="AB515" s="264" t="n">
        <f aca="false">DEGREES( _xlfn.ACOT( _xlfn.COT(AB$513)  *  COS(  _xlfn.ACOT( SIN(AB$513)  /  TAN($A515)    ))))</f>
        <v>15.0000032568273</v>
      </c>
      <c r="AC515" s="195" t="e">
        <f aca="false">DEGREES( _xlfn.ACOT( _xlfn.COT(AC$513)  *  COS(  _xlfn.ACOT( SIN(AC$513)  /  TAN($A515)    ))  *  SIGN( SIN($A515))))</f>
        <v>#NUM!</v>
      </c>
      <c r="AD515" s="195" t="e">
        <f aca="false">DEGREES( _xlfn.ACOT( _xlfn.COT(AD$513)  *  COS(  _xlfn.ACOT( SIN(AD$513)  /  TAN($A515)    ))  *  SIGN( SIN($A515))))</f>
        <v>#NUM!</v>
      </c>
      <c r="AE515" s="1"/>
      <c r="AF515" s="1"/>
      <c r="AG515" s="1"/>
      <c r="AH515" s="1"/>
      <c r="AI515" s="1"/>
      <c r="AJ515" s="1"/>
      <c r="AK515" s="1"/>
      <c r="AL515" s="1"/>
    </row>
    <row r="516" customFormat="false" ht="12.75" hidden="false" customHeight="true" outlineLevel="0" collapsed="false">
      <c r="A516" s="192" t="n">
        <f aca="false">RADIANS(MOD(B516-180,-360)+180)</f>
        <v>0.523598775598299</v>
      </c>
      <c r="B516" s="182" t="n">
        <v>30</v>
      </c>
      <c r="C516" s="1"/>
      <c r="D516" s="264" t="n">
        <f aca="false">DEGREES( _xlfn.ACOT( _xlfn.COT(D$513)  *  COS(  _xlfn.ACOT( SIN(D$513)  /  TAN($A516)    ))))</f>
        <v>30.0000000150831</v>
      </c>
      <c r="E516" s="210" t="n">
        <f aca="false">DEGREES( _xlfn.ACOT( _xlfn.COT(E$513)  *  COS(  _xlfn.ACOT( SIN(E$513)  /  TAN($A516)    ))))</f>
        <v>33.2259422032876</v>
      </c>
      <c r="F516" s="210" t="n">
        <f aca="false">DEGREES( _xlfn.ACOT( _xlfn.COT(F$513)  *  COS(  _xlfn.ACOT( SIN(F$513)  /  TAN($A516)    ))))</f>
        <v>41.4096221092709</v>
      </c>
      <c r="G516" s="210" t="n">
        <f aca="false">DEGREES( _xlfn.ACOT( _xlfn.COT(G$513)  *  COS(  _xlfn.ACOT( SIN(G$513)  /  TAN($A516)    ))))</f>
        <v>52.238756092965</v>
      </c>
      <c r="H516" s="210" t="n">
        <f aca="false">DEGREES( _xlfn.ACOT( _xlfn.COT(H$513)  *  COS(  _xlfn.ACOT( SIN(H$513)  /  TAN($A516)    ))))</f>
        <v>64.3410937267447</v>
      </c>
      <c r="I516" s="210" t="n">
        <f aca="false">DEGREES( _xlfn.ACOT( _xlfn.COT(I$513)  *  COS(  _xlfn.ACOT( SIN(I$513)  /  TAN($A516)    ))))</f>
        <v>77.0474603577776</v>
      </c>
      <c r="J516" s="264" t="n">
        <f aca="false">DEGREES( _xlfn.ACOT( _xlfn.COT(J$513)  *  COS(  _xlfn.ACOT( SIN(J$513)  /  TAN($A516)    ))))</f>
        <v>90</v>
      </c>
      <c r="K516" s="210" t="n">
        <f aca="false">DEGREES( _xlfn.ACOT( _xlfn.COT(K$513)  *  COS(  _xlfn.ACOT( SIN(K$513)  /  TAN($A516)    ))))</f>
        <v>102.952539642222</v>
      </c>
      <c r="L516" s="210" t="n">
        <f aca="false">DEGREES( _xlfn.ACOT( _xlfn.COT(L$513)  *  COS(  _xlfn.ACOT( SIN(L$513)  /  TAN($A516)    ))))</f>
        <v>115.658906273255</v>
      </c>
      <c r="M516" s="210" t="n">
        <f aca="false">DEGREES( _xlfn.ACOT( _xlfn.COT(M$513)  *  COS(  _xlfn.ACOT( SIN(M$513)  /  TAN($A516)    ))))</f>
        <v>127.761243907035</v>
      </c>
      <c r="N516" s="210" t="n">
        <f aca="false">DEGREES( _xlfn.ACOT( _xlfn.COT(N$513)  *  COS(  _xlfn.ACOT( SIN(N$513)  /  TAN($A516)    ))))</f>
        <v>138.590377890729</v>
      </c>
      <c r="O516" s="210" t="n">
        <f aca="false">DEGREES( _xlfn.ACOT( _xlfn.COT(O$513)  *  COS(  _xlfn.ACOT( SIN(O$513)  /  TAN($A516)    ))))</f>
        <v>146.774057796712</v>
      </c>
      <c r="P516" s="264" t="n">
        <f aca="false">DEGREES( _xlfn.ACOT( _xlfn.COT(P$513)  *  COS(  _xlfn.ACOT( SIN(P$513)  /  TAN($A516)    ))))</f>
        <v>156.620480395234</v>
      </c>
      <c r="Q516" s="210" t="n">
        <f aca="false">DEGREES( _xlfn.ACOT( _xlfn.COT(Q$513)  *  COS(  _xlfn.ACOT( SIN(Q$513)  /  TAN($A516)    ))))</f>
        <v>146.774057796712</v>
      </c>
      <c r="R516" s="210" t="n">
        <f aca="false">DEGREES( _xlfn.ACOT( _xlfn.COT(R$513)  *  COS(  _xlfn.ACOT( SIN(R$513)  /  TAN($A516)    ))))</f>
        <v>138.590377890729</v>
      </c>
      <c r="S516" s="210" t="n">
        <f aca="false">DEGREES( _xlfn.ACOT( _xlfn.COT(S$513)  *  COS(  _xlfn.ACOT( SIN(S$513)  /  TAN($A516)    ))))</f>
        <v>127.761243907035</v>
      </c>
      <c r="T516" s="210" t="n">
        <f aca="false">DEGREES( _xlfn.ACOT( _xlfn.COT(T$513)  *  COS(  _xlfn.ACOT( SIN(T$513)  /  TAN($A516)    ))))</f>
        <v>115.658906273255</v>
      </c>
      <c r="U516" s="210" t="n">
        <f aca="false">DEGREES( _xlfn.ACOT( _xlfn.COT(U$513)  *  COS(  _xlfn.ACOT( SIN(U$513)  /  TAN($A516)    ))))</f>
        <v>102.952539642222</v>
      </c>
      <c r="V516" s="264" t="n">
        <f aca="false">DEGREES( _xlfn.ACOT( _xlfn.COT(V$513)  *  COS(  _xlfn.ACOT( SIN(V$513)  /  TAN($A516)    ))))</f>
        <v>90</v>
      </c>
      <c r="W516" s="210" t="n">
        <f aca="false">DEGREES( _xlfn.ACOT( _xlfn.COT(W$513)  *  COS(  _xlfn.ACOT( SIN(W$513)  /  TAN($A516)    ))))</f>
        <v>77.0474603577776</v>
      </c>
      <c r="X516" s="210" t="n">
        <f aca="false">DEGREES( _xlfn.ACOT( _xlfn.COT(X$513)  *  COS(  _xlfn.ACOT( SIN(X$513)  /  TAN($A516)    ))))</f>
        <v>64.3410937267447</v>
      </c>
      <c r="Y516" s="210" t="n">
        <f aca="false">DEGREES( _xlfn.ACOT( _xlfn.COT(Y$513)  *  COS(  _xlfn.ACOT( SIN(Y$513)  /  TAN($A516)    ))))</f>
        <v>52.238756092965</v>
      </c>
      <c r="Z516" s="210" t="n">
        <f aca="false">DEGREES( _xlfn.ACOT( _xlfn.COT(Z$513)  *  COS(  _xlfn.ACOT( SIN(Z$513)  /  TAN($A516)    ))))</f>
        <v>41.4096221092709</v>
      </c>
      <c r="AA516" s="210" t="n">
        <f aca="false">DEGREES( _xlfn.ACOT( _xlfn.COT(AA$513)  *  COS(  _xlfn.ACOT( SIN(AA$513)  /  TAN($A516)    ))))</f>
        <v>33.2259422032876</v>
      </c>
      <c r="AB516" s="264" t="n">
        <f aca="false">DEGREES( _xlfn.ACOT( _xlfn.COT(AB$513)  *  COS(  _xlfn.ACOT( SIN(AB$513)  /  TAN($A516)    ))))</f>
        <v>30.0000015115115</v>
      </c>
      <c r="AC516" s="195" t="e">
        <f aca="false">DEGREES( _xlfn.ACOT( _xlfn.COT(AC$513)  *  COS(  _xlfn.ACOT( SIN(AC$513)  /  TAN($A516)    ))  *  SIGN( SIN($A516))))</f>
        <v>#NUM!</v>
      </c>
      <c r="AD516" s="195" t="e">
        <f aca="false">DEGREES( _xlfn.ACOT( _xlfn.COT(AD$513)  *  COS(  _xlfn.ACOT( SIN(AD$513)  /  TAN($A516)    ))  *  SIGN( SIN($A516))))</f>
        <v>#NUM!</v>
      </c>
      <c r="AE516" s="1"/>
      <c r="AF516" s="1"/>
      <c r="AG516" s="1"/>
      <c r="AH516" s="1"/>
      <c r="AI516" s="1"/>
      <c r="AJ516" s="1"/>
      <c r="AK516" s="1"/>
      <c r="AL516" s="1"/>
    </row>
    <row r="517" customFormat="false" ht="12.75" hidden="false" customHeight="true" outlineLevel="0" collapsed="false">
      <c r="A517" s="192" t="n">
        <f aca="false">RADIANS(MOD(B517-180,-360)+180)</f>
        <v>0.785398163397448</v>
      </c>
      <c r="B517" s="182" t="n">
        <v>45</v>
      </c>
      <c r="C517" s="1"/>
      <c r="D517" s="264" t="n">
        <f aca="false">DEGREES( _xlfn.ACOT( _xlfn.COT(D$513)  *  COS(  _xlfn.ACOT( SIN(D$513)  /  TAN($A517)    ))))</f>
        <v>45.0000000084834</v>
      </c>
      <c r="E517" s="210" t="n">
        <f aca="false">DEGREES( _xlfn.ACOT( _xlfn.COT(E$513)  *  COS(  _xlfn.ACOT( SIN(E$513)  /  TAN($A517)    ))))</f>
        <v>46.9204828581291</v>
      </c>
      <c r="F517" s="210" t="n">
        <f aca="false">DEGREES( _xlfn.ACOT( _xlfn.COT(F$513)  *  COS(  _xlfn.ACOT( SIN(F$513)  /  TAN($A517)    ))))</f>
        <v>52.238756092965</v>
      </c>
      <c r="G517" s="210" t="n">
        <f aca="false">DEGREES( _xlfn.ACOT( _xlfn.COT(G$513)  *  COS(  _xlfn.ACOT( SIN(G$513)  /  TAN($A517)    ))))</f>
        <v>60</v>
      </c>
      <c r="H517" s="210" t="n">
        <f aca="false">DEGREES( _xlfn.ACOT( _xlfn.COT(H$513)  *  COS(  _xlfn.ACOT( SIN(H$513)  /  TAN($A517)    ))))</f>
        <v>69.2951889453646</v>
      </c>
      <c r="I517" s="210" t="n">
        <f aca="false">DEGREES( _xlfn.ACOT( _xlfn.COT(I$513)  *  COS(  _xlfn.ACOT( SIN(I$513)  /  TAN($A517)    ))))</f>
        <v>79.4547094105004</v>
      </c>
      <c r="J517" s="264" t="n">
        <f aca="false">DEGREES( _xlfn.ACOT( _xlfn.COT(J$513)  *  COS(  _xlfn.ACOT( SIN(J$513)  /  TAN($A517)    ))))</f>
        <v>90</v>
      </c>
      <c r="K517" s="210" t="n">
        <f aca="false">DEGREES( _xlfn.ACOT( _xlfn.COT(K$513)  *  COS(  _xlfn.ACOT( SIN(K$513)  /  TAN($A517)    ))))</f>
        <v>100.5452905895</v>
      </c>
      <c r="L517" s="210" t="n">
        <f aca="false">DEGREES( _xlfn.ACOT( _xlfn.COT(L$513)  *  COS(  _xlfn.ACOT( SIN(L$513)  /  TAN($A517)    ))))</f>
        <v>110.704811054635</v>
      </c>
      <c r="M517" s="210" t="n">
        <f aca="false">DEGREES( _xlfn.ACOT( _xlfn.COT(M$513)  *  COS(  _xlfn.ACOT( SIN(M$513)  /  TAN($A517)    ))))</f>
        <v>120</v>
      </c>
      <c r="N517" s="210" t="n">
        <f aca="false">DEGREES( _xlfn.ACOT( _xlfn.COT(N$513)  *  COS(  _xlfn.ACOT( SIN(N$513)  /  TAN($A517)    ))))</f>
        <v>127.761243907035</v>
      </c>
      <c r="O517" s="210" t="n">
        <f aca="false">DEGREES( _xlfn.ACOT( _xlfn.COT(O$513)  *  COS(  _xlfn.ACOT( SIN(O$513)  /  TAN($A517)    ))))</f>
        <v>133.079517141871</v>
      </c>
      <c r="P517" s="264" t="n">
        <f aca="false">DEGREES( _xlfn.ACOT( _xlfn.COT(P$513)  *  COS(  _xlfn.ACOT( SIN(P$513)  /  TAN($A517)    ))))</f>
        <v>156.620480395234</v>
      </c>
      <c r="Q517" s="210" t="n">
        <f aca="false">DEGREES( _xlfn.ACOT( _xlfn.COT(Q$513)  *  COS(  _xlfn.ACOT( SIN(Q$513)  /  TAN($A517)    ))))</f>
        <v>133.079517141871</v>
      </c>
      <c r="R517" s="210" t="n">
        <f aca="false">DEGREES( _xlfn.ACOT( _xlfn.COT(R$513)  *  COS(  _xlfn.ACOT( SIN(R$513)  /  TAN($A517)    ))))</f>
        <v>127.761243907035</v>
      </c>
      <c r="S517" s="210" t="n">
        <f aca="false">DEGREES( _xlfn.ACOT( _xlfn.COT(S$513)  *  COS(  _xlfn.ACOT( SIN(S$513)  /  TAN($A517)    ))))</f>
        <v>120</v>
      </c>
      <c r="T517" s="210" t="n">
        <f aca="false">DEGREES( _xlfn.ACOT( _xlfn.COT(T$513)  *  COS(  _xlfn.ACOT( SIN(T$513)  /  TAN($A517)    ))))</f>
        <v>110.704811054635</v>
      </c>
      <c r="U517" s="210" t="n">
        <f aca="false">DEGREES( _xlfn.ACOT( _xlfn.COT(U$513)  *  COS(  _xlfn.ACOT( SIN(U$513)  /  TAN($A517)    ))))</f>
        <v>100.5452905895</v>
      </c>
      <c r="V517" s="264" t="n">
        <f aca="false">DEGREES( _xlfn.ACOT( _xlfn.COT(V$513)  *  COS(  _xlfn.ACOT( SIN(V$513)  /  TAN($A517)    ))))</f>
        <v>90</v>
      </c>
      <c r="W517" s="210" t="n">
        <f aca="false">DEGREES( _xlfn.ACOT( _xlfn.COT(W$513)  *  COS(  _xlfn.ACOT( SIN(W$513)  /  TAN($A517)    ))))</f>
        <v>79.4547094105004</v>
      </c>
      <c r="X517" s="210" t="n">
        <f aca="false">DEGREES( _xlfn.ACOT( _xlfn.COT(X$513)  *  COS(  _xlfn.ACOT( SIN(X$513)  /  TAN($A517)    ))))</f>
        <v>69.2951889453646</v>
      </c>
      <c r="Y517" s="210" t="n">
        <f aca="false">DEGREES( _xlfn.ACOT( _xlfn.COT(Y$513)  *  COS(  _xlfn.ACOT( SIN(Y$513)  /  TAN($A517)    ))))</f>
        <v>60</v>
      </c>
      <c r="Z517" s="210" t="n">
        <f aca="false">DEGREES( _xlfn.ACOT( _xlfn.COT(Z$513)  *  COS(  _xlfn.ACOT( SIN(Z$513)  /  TAN($A517)    ))))</f>
        <v>52.238756092965</v>
      </c>
      <c r="AA517" s="210" t="n">
        <f aca="false">DEGREES( _xlfn.ACOT( _xlfn.COT(AA$513)  *  COS(  _xlfn.ACOT( SIN(AA$513)  /  TAN($A517)    ))))</f>
        <v>46.9204828581291</v>
      </c>
      <c r="AB517" s="264" t="n">
        <f aca="false">DEGREES( _xlfn.ACOT( _xlfn.COT(AB$513)  *  COS(  _xlfn.ACOT( SIN(AB$513)  /  TAN($A517)    ))))</f>
        <v>45.0000008726917</v>
      </c>
      <c r="AC517" s="195" t="e">
        <f aca="false">DEGREES( _xlfn.ACOT( _xlfn.COT(AC$513)  *  COS(  _xlfn.ACOT( SIN(AC$513)  /  TAN($A517)    ))  *  SIGN( SIN($A517))))</f>
        <v>#NUM!</v>
      </c>
      <c r="AD517" s="195" t="e">
        <f aca="false">DEGREES( _xlfn.ACOT( _xlfn.COT(AD$513)  *  COS(  _xlfn.ACOT( SIN(AD$513)  /  TAN($A517)    ))  *  SIGN( SIN($A517))))</f>
        <v>#NUM!</v>
      </c>
      <c r="AE517" s="1"/>
      <c r="AF517" s="1"/>
      <c r="AG517" s="1"/>
      <c r="AH517" s="1"/>
      <c r="AI517" s="1"/>
      <c r="AJ517" s="1"/>
      <c r="AK517" s="1"/>
      <c r="AL517" s="1"/>
    </row>
    <row r="518" customFormat="false" ht="12.75" hidden="false" customHeight="true" outlineLevel="0" collapsed="false">
      <c r="A518" s="192" t="n">
        <f aca="false">RADIANS(MOD(B518-180,-360)+180)</f>
        <v>1.0471975511966</v>
      </c>
      <c r="B518" s="182" t="n">
        <v>60</v>
      </c>
      <c r="C518" s="1"/>
      <c r="D518" s="264" t="n">
        <f aca="false">DEGREES( _xlfn.ACOT( _xlfn.COT(D$513)  *  COS(  _xlfn.ACOT( SIN(D$513)  /  TAN($A518)    ))))</f>
        <v>60.0000000046989</v>
      </c>
      <c r="E518" s="210" t="n">
        <f aca="false">DEGREES( _xlfn.ACOT( _xlfn.COT(E$513)  *  COS(  _xlfn.ACOT( SIN(E$513)  /  TAN($A518)    ))))</f>
        <v>61.1209059825724</v>
      </c>
      <c r="F518" s="210" t="n">
        <f aca="false">DEGREES( _xlfn.ACOT( _xlfn.COT(F$513)  *  COS(  _xlfn.ACOT( SIN(F$513)  /  TAN($A518)    ))))</f>
        <v>64.3410937267447</v>
      </c>
      <c r="G518" s="210" t="n">
        <f aca="false">DEGREES( _xlfn.ACOT( _xlfn.COT(G$513)  *  COS(  _xlfn.ACOT( SIN(G$513)  /  TAN($A518)    ))))</f>
        <v>69.2951889453646</v>
      </c>
      <c r="H518" s="210" t="n">
        <f aca="false">DEGREES( _xlfn.ACOT( _xlfn.COT(H$513)  *  COS(  _xlfn.ACOT( SIN(H$513)  /  TAN($A518)    ))))</f>
        <v>75.5224878140701</v>
      </c>
      <c r="I518" s="210" t="n">
        <f aca="false">DEGREES( _xlfn.ACOT( _xlfn.COT(I$513)  *  COS(  _xlfn.ACOT( SIN(I$513)  /  TAN($A518)    ))))</f>
        <v>82.5645277738682</v>
      </c>
      <c r="J518" s="264" t="n">
        <f aca="false">DEGREES( _xlfn.ACOT( _xlfn.COT(J$513)  *  COS(  _xlfn.ACOT( SIN(J$513)  /  TAN($A518)    ))))</f>
        <v>90</v>
      </c>
      <c r="K518" s="210" t="n">
        <f aca="false">DEGREES( _xlfn.ACOT( _xlfn.COT(K$513)  *  COS(  _xlfn.ACOT( SIN(K$513)  /  TAN($A518)    ))))</f>
        <v>97.4354722261319</v>
      </c>
      <c r="L518" s="210" t="n">
        <f aca="false">DEGREES( _xlfn.ACOT( _xlfn.COT(L$513)  *  COS(  _xlfn.ACOT( SIN(L$513)  /  TAN($A518)    ))))</f>
        <v>104.47751218593</v>
      </c>
      <c r="M518" s="210" t="n">
        <f aca="false">DEGREES( _xlfn.ACOT( _xlfn.COT(M$513)  *  COS(  _xlfn.ACOT( SIN(M$513)  /  TAN($A518)    ))))</f>
        <v>110.704811054635</v>
      </c>
      <c r="N518" s="210" t="n">
        <f aca="false">DEGREES( _xlfn.ACOT( _xlfn.COT(N$513)  *  COS(  _xlfn.ACOT( SIN(N$513)  /  TAN($A518)    ))))</f>
        <v>115.658906273255</v>
      </c>
      <c r="O518" s="210" t="n">
        <f aca="false">DEGREES( _xlfn.ACOT( _xlfn.COT(O$513)  *  COS(  _xlfn.ACOT( SIN(O$513)  /  TAN($A518)    ))))</f>
        <v>118.879094017428</v>
      </c>
      <c r="P518" s="264" t="n">
        <f aca="false">DEGREES( _xlfn.ACOT( _xlfn.COT(P$513)  *  COS(  _xlfn.ACOT( SIN(P$513)  /  TAN($A518)    ))))</f>
        <v>116.565051177078</v>
      </c>
      <c r="Q518" s="210" t="n">
        <f aca="false">DEGREES( _xlfn.ACOT( _xlfn.COT(Q$513)  *  COS(  _xlfn.ACOT( SIN(Q$513)  /  TAN($A518)    ))))</f>
        <v>118.879094017428</v>
      </c>
      <c r="R518" s="210" t="n">
        <f aca="false">DEGREES( _xlfn.ACOT( _xlfn.COT(R$513)  *  COS(  _xlfn.ACOT( SIN(R$513)  /  TAN($A518)    ))))</f>
        <v>115.658906273255</v>
      </c>
      <c r="S518" s="210" t="n">
        <f aca="false">DEGREES( _xlfn.ACOT( _xlfn.COT(S$513)  *  COS(  _xlfn.ACOT( SIN(S$513)  /  TAN($A518)    ))))</f>
        <v>110.704811054635</v>
      </c>
      <c r="T518" s="210" t="n">
        <f aca="false">DEGREES( _xlfn.ACOT( _xlfn.COT(T$513)  *  COS(  _xlfn.ACOT( SIN(T$513)  /  TAN($A518)    ))))</f>
        <v>104.47751218593</v>
      </c>
      <c r="U518" s="210" t="n">
        <f aca="false">DEGREES( _xlfn.ACOT( _xlfn.COT(U$513)  *  COS(  _xlfn.ACOT( SIN(U$513)  /  TAN($A518)    ))))</f>
        <v>97.4354722261319</v>
      </c>
      <c r="V518" s="264" t="n">
        <f aca="false">DEGREES( _xlfn.ACOT( _xlfn.COT(V$513)  *  COS(  _xlfn.ACOT( SIN(V$513)  /  TAN($A518)    ))))</f>
        <v>90</v>
      </c>
      <c r="W518" s="210" t="n">
        <f aca="false">DEGREES( _xlfn.ACOT( _xlfn.COT(W$513)  *  COS(  _xlfn.ACOT( SIN(W$513)  /  TAN($A518)    ))))</f>
        <v>82.5645277738682</v>
      </c>
      <c r="X518" s="210" t="n">
        <f aca="false">DEGREES( _xlfn.ACOT( _xlfn.COT(X$513)  *  COS(  _xlfn.ACOT( SIN(X$513)  /  TAN($A518)    ))))</f>
        <v>75.5224878140701</v>
      </c>
      <c r="Y518" s="210" t="n">
        <f aca="false">DEGREES( _xlfn.ACOT( _xlfn.COT(Y$513)  *  COS(  _xlfn.ACOT( SIN(Y$513)  /  TAN($A518)    ))))</f>
        <v>69.2951889453646</v>
      </c>
      <c r="Z518" s="210" t="n">
        <f aca="false">DEGREES( _xlfn.ACOT( _xlfn.COT(Z$513)  *  COS(  _xlfn.ACOT( SIN(Z$513)  /  TAN($A518)    ))))</f>
        <v>64.3410937267447</v>
      </c>
      <c r="AA518" s="210" t="n">
        <f aca="false">DEGREES( _xlfn.ACOT( _xlfn.COT(AA$513)  *  COS(  _xlfn.ACOT( SIN(AA$513)  /  TAN($A518)    ))))</f>
        <v>61.1209059825724</v>
      </c>
      <c r="AB518" s="264" t="n">
        <f aca="false">DEGREES( _xlfn.ACOT( _xlfn.COT(AB$513)  *  COS(  _xlfn.ACOT( SIN(AB$513)  /  TAN($A518)    ))))</f>
        <v>60.0000005038696</v>
      </c>
      <c r="AC518" s="195" t="e">
        <f aca="false">DEGREES( _xlfn.ACOT( _xlfn.COT(AC$513)  *  COS(  _xlfn.ACOT( SIN(AC$513)  /  TAN($A518)    ))  *  SIGN( SIN($A518))))</f>
        <v>#NUM!</v>
      </c>
      <c r="AD518" s="195" t="e">
        <f aca="false">DEGREES( _xlfn.ACOT( _xlfn.COT(AD$513)  *  COS(  _xlfn.ACOT( SIN(AD$513)  /  TAN($A518)    ))  *  SIGN( SIN($A518))))</f>
        <v>#NUM!</v>
      </c>
      <c r="AE518" s="1"/>
      <c r="AF518" s="1"/>
      <c r="AG518" s="1"/>
      <c r="AH518" s="1"/>
      <c r="AI518" s="1"/>
      <c r="AJ518" s="1"/>
      <c r="AK518" s="1"/>
      <c r="AL518" s="1"/>
    </row>
    <row r="519" customFormat="false" ht="12.75" hidden="false" customHeight="true" outlineLevel="0" collapsed="false">
      <c r="A519" s="192" t="n">
        <f aca="false">RADIANS(MOD(B519-180,-360)+180)</f>
        <v>1.30899693899575</v>
      </c>
      <c r="B519" s="182" t="n">
        <v>75</v>
      </c>
      <c r="C519" s="1"/>
      <c r="D519" s="264" t="n">
        <f aca="false">DEGREES( _xlfn.ACOT( _xlfn.COT(D$513)  *  COS(  _xlfn.ACOT( SIN(D$513)  /  TAN($A519)    ))))</f>
        <v>75.0000000024589</v>
      </c>
      <c r="E519" s="210" t="n">
        <f aca="false">DEGREES( _xlfn.ACOT( _xlfn.COT(E$513)  *  COS(  _xlfn.ACOT( SIN(E$513)  /  TAN($A519)    ))))</f>
        <v>75.5224878140701</v>
      </c>
      <c r="F519" s="210" t="n">
        <f aca="false">DEGREES( _xlfn.ACOT( _xlfn.COT(F$513)  *  COS(  _xlfn.ACOT( SIN(F$513)  /  TAN($A519)    ))))</f>
        <v>77.0474603577776</v>
      </c>
      <c r="G519" s="210" t="n">
        <f aca="false">DEGREES( _xlfn.ACOT( _xlfn.COT(G$513)  *  COS(  _xlfn.ACOT( SIN(G$513)  /  TAN($A519)    ))))</f>
        <v>79.4547094105004</v>
      </c>
      <c r="H519" s="210" t="n">
        <f aca="false">DEGREES( _xlfn.ACOT( _xlfn.COT(H$513)  *  COS(  _xlfn.ACOT( SIN(H$513)  /  TAN($A519)    ))))</f>
        <v>82.5645277738682</v>
      </c>
      <c r="I519" s="210" t="n">
        <f aca="false">DEGREES( _xlfn.ACOT( _xlfn.COT(I$513)  *  COS(  _xlfn.ACOT( SIN(I$513)  /  TAN($A519)    ))))</f>
        <v>86.1590342837419</v>
      </c>
      <c r="J519" s="264" t="n">
        <f aca="false">DEGREES( _xlfn.ACOT( _xlfn.COT(J$513)  *  COS(  _xlfn.ACOT( SIN(J$513)  /  TAN($A519)    ))))</f>
        <v>90</v>
      </c>
      <c r="K519" s="210" t="n">
        <f aca="false">DEGREES( _xlfn.ACOT( _xlfn.COT(K$513)  *  COS(  _xlfn.ACOT( SIN(K$513)  /  TAN($A519)    ))))</f>
        <v>93.8409657162582</v>
      </c>
      <c r="L519" s="210" t="n">
        <f aca="false">DEGREES( _xlfn.ACOT( _xlfn.COT(L$513)  *  COS(  _xlfn.ACOT( SIN(L$513)  /  TAN($A519)    ))))</f>
        <v>97.4354722261318</v>
      </c>
      <c r="M519" s="210" t="n">
        <f aca="false">DEGREES( _xlfn.ACOT( _xlfn.COT(M$513)  *  COS(  _xlfn.ACOT( SIN(M$513)  /  TAN($A519)    ))))</f>
        <v>100.5452905895</v>
      </c>
      <c r="N519" s="210" t="n">
        <f aca="false">DEGREES( _xlfn.ACOT( _xlfn.COT(N$513)  *  COS(  _xlfn.ACOT( SIN(N$513)  /  TAN($A519)    ))))</f>
        <v>102.952539642222</v>
      </c>
      <c r="O519" s="210" t="n">
        <f aca="false">DEGREES( _xlfn.ACOT( _xlfn.COT(O$513)  *  COS(  _xlfn.ACOT( SIN(O$513)  /  TAN($A519)    ))))</f>
        <v>104.47751218593</v>
      </c>
      <c r="P519" s="264" t="n">
        <f aca="false">DEGREES( _xlfn.ACOT( _xlfn.COT(P$513)  *  COS(  _xlfn.ACOT( SIN(P$513)  /  TAN($A519)    ))))</f>
        <v>116.565051177078</v>
      </c>
      <c r="Q519" s="210" t="n">
        <f aca="false">DEGREES( _xlfn.ACOT( _xlfn.COT(Q$513)  *  COS(  _xlfn.ACOT( SIN(Q$513)  /  TAN($A519)    ))))</f>
        <v>104.47751218593</v>
      </c>
      <c r="R519" s="210" t="n">
        <f aca="false">DEGREES( _xlfn.ACOT( _xlfn.COT(R$513)  *  COS(  _xlfn.ACOT( SIN(R$513)  /  TAN($A519)    ))))</f>
        <v>102.952539642222</v>
      </c>
      <c r="S519" s="210" t="n">
        <f aca="false">DEGREES( _xlfn.ACOT( _xlfn.COT(S$513)  *  COS(  _xlfn.ACOT( SIN(S$513)  /  TAN($A519)    ))))</f>
        <v>100.5452905895</v>
      </c>
      <c r="T519" s="210" t="n">
        <f aca="false">DEGREES( _xlfn.ACOT( _xlfn.COT(T$513)  *  COS(  _xlfn.ACOT( SIN(T$513)  /  TAN($A519)    ))))</f>
        <v>97.4354722261318</v>
      </c>
      <c r="U519" s="210" t="n">
        <f aca="false">DEGREES( _xlfn.ACOT( _xlfn.COT(U$513)  *  COS(  _xlfn.ACOT( SIN(U$513)  /  TAN($A519)    ))))</f>
        <v>93.8409657162582</v>
      </c>
      <c r="V519" s="264" t="n">
        <f aca="false">DEGREES( _xlfn.ACOT( _xlfn.COT(V$513)  *  COS(  _xlfn.ACOT( SIN(V$513)  /  TAN($A519)    ))))</f>
        <v>90</v>
      </c>
      <c r="W519" s="210" t="n">
        <f aca="false">DEGREES( _xlfn.ACOT( _xlfn.COT(W$513)  *  COS(  _xlfn.ACOT( SIN(W$513)  /  TAN($A519)    ))))</f>
        <v>86.1590342837419</v>
      </c>
      <c r="X519" s="210" t="n">
        <f aca="false">DEGREES( _xlfn.ACOT( _xlfn.COT(X$513)  *  COS(  _xlfn.ACOT( SIN(X$513)  /  TAN($A519)    ))))</f>
        <v>82.5645277738682</v>
      </c>
      <c r="Y519" s="210" t="n">
        <f aca="false">DEGREES( _xlfn.ACOT( _xlfn.COT(Y$513)  *  COS(  _xlfn.ACOT( SIN(Y$513)  /  TAN($A519)    ))))</f>
        <v>79.4547094105004</v>
      </c>
      <c r="Z519" s="210" t="n">
        <f aca="false">DEGREES( _xlfn.ACOT( _xlfn.COT(Z$513)  *  COS(  _xlfn.ACOT( SIN(Z$513)  /  TAN($A519)    ))))</f>
        <v>77.0474603577776</v>
      </c>
      <c r="AA519" s="210" t="n">
        <f aca="false">DEGREES( _xlfn.ACOT( _xlfn.COT(AA$513)  *  COS(  _xlfn.ACOT( SIN(AA$513)  /  TAN($A519)    ))))</f>
        <v>75.5224878140701</v>
      </c>
      <c r="AB519" s="264" t="n">
        <f aca="false">DEGREES( _xlfn.ACOT( _xlfn.COT(AB$513)  *  COS(  _xlfn.ACOT( SIN(AB$513)  /  TAN($A519)    ))))</f>
        <v>75.0000002338306</v>
      </c>
      <c r="AC519" s="195" t="e">
        <f aca="false">DEGREES( _xlfn.ACOT( _xlfn.COT(AC$513)  *  COS(  _xlfn.ACOT( SIN(AC$513)  /  TAN($A519)    ))  *  SIGN( SIN($A519))))</f>
        <v>#NUM!</v>
      </c>
      <c r="AD519" s="195" t="e">
        <f aca="false">DEGREES( _xlfn.ACOT( _xlfn.COT(AD$513)  *  COS(  _xlfn.ACOT( SIN(AD$513)  /  TAN($A519)    ))  *  SIGN( SIN($A519))))</f>
        <v>#NUM!</v>
      </c>
      <c r="AE519" s="1"/>
      <c r="AF519" s="1"/>
      <c r="AG519" s="1"/>
      <c r="AH519" s="1"/>
      <c r="AI519" s="1"/>
      <c r="AJ519" s="1"/>
      <c r="AK519" s="1"/>
      <c r="AL519" s="1"/>
    </row>
    <row r="520" customFormat="false" ht="12.75" hidden="false" customHeight="true" outlineLevel="0" collapsed="false">
      <c r="A520" s="192" t="n">
        <f aca="false">RADIANS(MOD(B520-180,-360)+180)</f>
        <v>1.5707963267949</v>
      </c>
      <c r="B520" s="182" t="n">
        <v>90</v>
      </c>
      <c r="C520" s="1"/>
      <c r="D520" s="264" t="n">
        <f aca="false">DEGREES( _xlfn.ACOT( _xlfn.COT(D$513)  *  COS(  _xlfn.ACOT( SIN(D$513)  /  TAN($A520)    ))))</f>
        <v>89.999999999799</v>
      </c>
      <c r="E520" s="264" t="n">
        <f aca="false">DEGREES( _xlfn.ACOT( _xlfn.COT(E$513)  *  COS(  _xlfn.ACOT( SIN(E$513)  /  TAN($A520)    ))))</f>
        <v>90</v>
      </c>
      <c r="F520" s="264" t="n">
        <f aca="false">DEGREES( _xlfn.ACOT( _xlfn.COT(F$513)  *  COS(  _xlfn.ACOT( SIN(F$513)  /  TAN($A520)    ))))</f>
        <v>90</v>
      </c>
      <c r="G520" s="264" t="n">
        <f aca="false">DEGREES( _xlfn.ACOT( _xlfn.COT(G$513)  *  COS(  _xlfn.ACOT( SIN(G$513)  /  TAN($A520)    ))))</f>
        <v>90</v>
      </c>
      <c r="H520" s="264" t="n">
        <f aca="false">DEGREES( _xlfn.ACOT( _xlfn.COT(H$513)  *  COS(  _xlfn.ACOT( SIN(H$513)  /  TAN($A520)    ))))</f>
        <v>90</v>
      </c>
      <c r="I520" s="264" t="n">
        <f aca="false">DEGREES( _xlfn.ACOT( _xlfn.COT(I$513)  *  COS(  _xlfn.ACOT( SIN(I$513)  /  TAN($A520)    ))))</f>
        <v>90</v>
      </c>
      <c r="J520" s="264" t="n">
        <f aca="false">DEGREES( _xlfn.ACOT( _xlfn.COT(J$513)  *  COS(  _xlfn.ACOT( SIN(J$513)  /  TAN($A520)    ))))</f>
        <v>90</v>
      </c>
      <c r="K520" s="264" t="n">
        <f aca="false">DEGREES( _xlfn.ACOT( _xlfn.COT(K$513)  *  COS(  _xlfn.ACOT( SIN(K$513)  /  TAN($A520)    ))))</f>
        <v>90</v>
      </c>
      <c r="L520" s="264" t="n">
        <f aca="false">DEGREES( _xlfn.ACOT( _xlfn.COT(L$513)  *  COS(  _xlfn.ACOT( SIN(L$513)  /  TAN($A520)    ))))</f>
        <v>90</v>
      </c>
      <c r="M520" s="264" t="n">
        <f aca="false">DEGREES( _xlfn.ACOT( _xlfn.COT(M$513)  *  COS(  _xlfn.ACOT( SIN(M$513)  /  TAN($A520)    ))))</f>
        <v>90</v>
      </c>
      <c r="N520" s="264" t="n">
        <f aca="false">DEGREES( _xlfn.ACOT( _xlfn.COT(N$513)  *  COS(  _xlfn.ACOT( SIN(N$513)  /  TAN($A520)    ))))</f>
        <v>90</v>
      </c>
      <c r="O520" s="264" t="n">
        <f aca="false">DEGREES( _xlfn.ACOT( _xlfn.COT(O$513)  *  COS(  _xlfn.ACOT( SIN(O$513)  /  TAN($A520)    ))))</f>
        <v>90</v>
      </c>
      <c r="P520" s="264" t="n">
        <f aca="false">DEGREES( _xlfn.ACOT( _xlfn.COT(P$513)  *  COS(  _xlfn.ACOT( SIN(P$513)  /  TAN($A520)    ))))</f>
        <v>116.565051177078</v>
      </c>
      <c r="Q520" s="264" t="n">
        <f aca="false">DEGREES( _xlfn.ACOT( _xlfn.COT(Q$513)  *  COS(  _xlfn.ACOT( SIN(Q$513)  /  TAN($A520)    ))))</f>
        <v>90</v>
      </c>
      <c r="R520" s="264" t="n">
        <f aca="false">DEGREES( _xlfn.ACOT( _xlfn.COT(R$513)  *  COS(  _xlfn.ACOT( SIN(R$513)  /  TAN($A520)    ))))</f>
        <v>90</v>
      </c>
      <c r="S520" s="264" t="n">
        <f aca="false">DEGREES( _xlfn.ACOT( _xlfn.COT(S$513)  *  COS(  _xlfn.ACOT( SIN(S$513)  /  TAN($A520)    ))))</f>
        <v>90</v>
      </c>
      <c r="T520" s="264" t="n">
        <f aca="false">DEGREES( _xlfn.ACOT( _xlfn.COT(T$513)  *  COS(  _xlfn.ACOT( SIN(T$513)  /  TAN($A520)    ))))</f>
        <v>90</v>
      </c>
      <c r="U520" s="264" t="n">
        <f aca="false">DEGREES( _xlfn.ACOT( _xlfn.COT(U$513)  *  COS(  _xlfn.ACOT( SIN(U$513)  /  TAN($A520)    ))))</f>
        <v>90</v>
      </c>
      <c r="V520" s="264" t="n">
        <f aca="false">DEGREES( _xlfn.ACOT( _xlfn.COT(V$513)  *  COS(  _xlfn.ACOT( SIN(V$513)  /  TAN($A520)    ))))</f>
        <v>90</v>
      </c>
      <c r="W520" s="264" t="n">
        <f aca="false">DEGREES( _xlfn.ACOT( _xlfn.COT(W$513)  *  COS(  _xlfn.ACOT( SIN(W$513)  /  TAN($A520)    ))))</f>
        <v>90</v>
      </c>
      <c r="X520" s="264" t="n">
        <f aca="false">DEGREES( _xlfn.ACOT( _xlfn.COT(X$513)  *  COS(  _xlfn.ACOT( SIN(X$513)  /  TAN($A520)    ))))</f>
        <v>90</v>
      </c>
      <c r="Y520" s="264" t="n">
        <f aca="false">DEGREES( _xlfn.ACOT( _xlfn.COT(Y$513)  *  COS(  _xlfn.ACOT( SIN(Y$513)  /  TAN($A520)    ))))</f>
        <v>90</v>
      </c>
      <c r="Z520" s="264" t="n">
        <f aca="false">DEGREES( _xlfn.ACOT( _xlfn.COT(Z$513)  *  COS(  _xlfn.ACOT( SIN(Z$513)  /  TAN($A520)    ))))</f>
        <v>90</v>
      </c>
      <c r="AA520" s="264" t="n">
        <f aca="false">DEGREES( _xlfn.ACOT( _xlfn.COT(AA$513)  *  COS(  _xlfn.ACOT( SIN(AA$513)  /  TAN($A520)    ))))</f>
        <v>90</v>
      </c>
      <c r="AB520" s="264" t="n">
        <f aca="false">DEGREES( _xlfn.ACOT( _xlfn.COT(AB$513)  *  COS(  _xlfn.ACOT( SIN(AB$513)  /  TAN($A520)    ))))</f>
        <v>90.0000000000201</v>
      </c>
      <c r="AC520" s="195" t="e">
        <f aca="false">DEGREES( _xlfn.ACOT( _xlfn.COT(AC$513)  *  COS(  _xlfn.ACOT( SIN(AC$513)  /  TAN($A520)    ))  *  SIGN( SIN($A520))))</f>
        <v>#NUM!</v>
      </c>
      <c r="AD520" s="195" t="e">
        <f aca="false">DEGREES( _xlfn.ACOT( _xlfn.COT(AD$513)  *  COS(  _xlfn.ACOT( SIN(AD$513)  /  TAN($A520)    ))  *  SIGN( SIN($A520))))</f>
        <v>#NUM!</v>
      </c>
      <c r="AE520" s="1"/>
      <c r="AF520" s="1"/>
      <c r="AG520" s="1"/>
      <c r="AH520" s="1"/>
      <c r="AI520" s="1"/>
      <c r="AJ520" s="1"/>
      <c r="AK520" s="1"/>
      <c r="AL520" s="1"/>
    </row>
    <row r="521" customFormat="false" ht="12.75" hidden="false" customHeight="true" outlineLevel="0" collapsed="false">
      <c r="A521" s="192" t="n">
        <f aca="false">RADIANS(MOD(B521-180,-360)+180)</f>
        <v>1.83259571459405</v>
      </c>
      <c r="B521" s="182" t="n">
        <v>105</v>
      </c>
      <c r="C521" s="1"/>
      <c r="D521" s="264" t="n">
        <f aca="false">DEGREES( _xlfn.ACOT( _xlfn.COT(D$513)  *  COS(  _xlfn.ACOT( SIN(D$513)  /  TAN($A521)    ))))</f>
        <v>104.999999997166</v>
      </c>
      <c r="E521" s="210" t="n">
        <f aca="false">DEGREES( _xlfn.ACOT( _xlfn.COT(E$513)  *  COS(  _xlfn.ACOT( SIN(E$513)  /  TAN($A521)    ))))</f>
        <v>104.47751218593</v>
      </c>
      <c r="F521" s="210" t="n">
        <f aca="false">DEGREES( _xlfn.ACOT( _xlfn.COT(F$513)  *  COS(  _xlfn.ACOT( SIN(F$513)  /  TAN($A521)    ))))</f>
        <v>102.952539642222</v>
      </c>
      <c r="G521" s="210" t="n">
        <f aca="false">DEGREES( _xlfn.ACOT( _xlfn.COT(G$513)  *  COS(  _xlfn.ACOT( SIN(G$513)  /  TAN($A521)    ))))</f>
        <v>100.5452905895</v>
      </c>
      <c r="H521" s="210" t="n">
        <f aca="false">DEGREES( _xlfn.ACOT( _xlfn.COT(H$513)  *  COS(  _xlfn.ACOT( SIN(H$513)  /  TAN($A521)    ))))</f>
        <v>97.4354722261319</v>
      </c>
      <c r="I521" s="210" t="n">
        <f aca="false">DEGREES( _xlfn.ACOT( _xlfn.COT(I$513)  *  COS(  _xlfn.ACOT( SIN(I$513)  /  TAN($A521)    ))))</f>
        <v>93.8409657162582</v>
      </c>
      <c r="J521" s="264" t="n">
        <f aca="false">DEGREES( _xlfn.ACOT( _xlfn.COT(J$513)  *  COS(  _xlfn.ACOT( SIN(J$513)  /  TAN($A521)    ))))</f>
        <v>90</v>
      </c>
      <c r="K521" s="210" t="n">
        <f aca="false">DEGREES( _xlfn.ACOT( _xlfn.COT(K$513)  *  COS(  _xlfn.ACOT( SIN(K$513)  /  TAN($A521)    ))))</f>
        <v>86.1590342837419</v>
      </c>
      <c r="L521" s="210" t="n">
        <f aca="false">DEGREES( _xlfn.ACOT( _xlfn.COT(L$513)  *  COS(  _xlfn.ACOT( SIN(L$513)  /  TAN($A521)    ))))</f>
        <v>82.5645277738682</v>
      </c>
      <c r="M521" s="210" t="n">
        <f aca="false">DEGREES( _xlfn.ACOT( _xlfn.COT(M$513)  *  COS(  _xlfn.ACOT( SIN(M$513)  /  TAN($A521)    ))))</f>
        <v>79.4547094105005</v>
      </c>
      <c r="N521" s="210" t="n">
        <f aca="false">DEGREES( _xlfn.ACOT( _xlfn.COT(N$513)  *  COS(  _xlfn.ACOT( SIN(N$513)  /  TAN($A521)    ))))</f>
        <v>77.0474603577776</v>
      </c>
      <c r="O521" s="210" t="n">
        <f aca="false">DEGREES( _xlfn.ACOT( _xlfn.COT(O$513)  *  COS(  _xlfn.ACOT( SIN(O$513)  /  TAN($A521)    ))))</f>
        <v>75.5224878140701</v>
      </c>
      <c r="P521" s="264" t="n">
        <f aca="false">DEGREES( _xlfn.ACOT( _xlfn.COT(P$513)  *  COS(  _xlfn.ACOT( SIN(P$513)  /  TAN($A521)    ))))</f>
        <v>116.565051177078</v>
      </c>
      <c r="Q521" s="210" t="n">
        <f aca="false">DEGREES( _xlfn.ACOT( _xlfn.COT(Q$513)  *  COS(  _xlfn.ACOT( SIN(Q$513)  /  TAN($A521)    ))))</f>
        <v>75.52248781407</v>
      </c>
      <c r="R521" s="210" t="n">
        <f aca="false">DEGREES( _xlfn.ACOT( _xlfn.COT(R$513)  *  COS(  _xlfn.ACOT( SIN(R$513)  /  TAN($A521)    ))))</f>
        <v>77.0474603577776</v>
      </c>
      <c r="S521" s="210" t="n">
        <f aca="false">DEGREES( _xlfn.ACOT( _xlfn.COT(S$513)  *  COS(  _xlfn.ACOT( SIN(S$513)  /  TAN($A521)    ))))</f>
        <v>79.4547094105004</v>
      </c>
      <c r="T521" s="210" t="n">
        <f aca="false">DEGREES( _xlfn.ACOT( _xlfn.COT(T$513)  *  COS(  _xlfn.ACOT( SIN(T$513)  /  TAN($A521)    ))))</f>
        <v>82.5645277738682</v>
      </c>
      <c r="U521" s="210" t="n">
        <f aca="false">DEGREES( _xlfn.ACOT( _xlfn.COT(U$513)  *  COS(  _xlfn.ACOT( SIN(U$513)  /  TAN($A521)    ))))</f>
        <v>86.1590342837419</v>
      </c>
      <c r="V521" s="264" t="n">
        <f aca="false">DEGREES( _xlfn.ACOT( _xlfn.COT(V$513)  *  COS(  _xlfn.ACOT( SIN(V$513)  /  TAN($A521)    ))))</f>
        <v>90</v>
      </c>
      <c r="W521" s="210" t="n">
        <f aca="false">DEGREES( _xlfn.ACOT( _xlfn.COT(W$513)  *  COS(  _xlfn.ACOT( SIN(W$513)  /  TAN($A521)    ))))</f>
        <v>93.8409657162582</v>
      </c>
      <c r="X521" s="210" t="n">
        <f aca="false">DEGREES( _xlfn.ACOT( _xlfn.COT(X$513)  *  COS(  _xlfn.ACOT( SIN(X$513)  /  TAN($A521)    ))))</f>
        <v>97.4354722261319</v>
      </c>
      <c r="Y521" s="210" t="n">
        <f aca="false">DEGREES( _xlfn.ACOT( _xlfn.COT(Y$513)  *  COS(  _xlfn.ACOT( SIN(Y$513)  /  TAN($A521)    ))))</f>
        <v>100.5452905895</v>
      </c>
      <c r="Z521" s="210" t="n">
        <f aca="false">DEGREES( _xlfn.ACOT( _xlfn.COT(Z$513)  *  COS(  _xlfn.ACOT( SIN(Z$513)  /  TAN($A521)    ))))</f>
        <v>102.952539642222</v>
      </c>
      <c r="AA521" s="210" t="n">
        <f aca="false">DEGREES( _xlfn.ACOT( _xlfn.COT(AA$513)  *  COS(  _xlfn.ACOT( SIN(AA$513)  /  TAN($A521)    ))))</f>
        <v>104.47751218593</v>
      </c>
      <c r="AB521" s="264" t="n">
        <f aca="false">DEGREES( _xlfn.ACOT( _xlfn.COT(AB$513)  *  COS(  _xlfn.ACOT( SIN(AB$513)  /  TAN($A521)    ))))</f>
        <v>104.999999766207</v>
      </c>
      <c r="AC521" s="195" t="e">
        <f aca="false">DEGREES( _xlfn.ACOT( _xlfn.COT(AC$513)  *  COS(  _xlfn.ACOT( SIN(AC$513)  /  TAN($A521)    ))  *  SIGN( SIN($A521))))</f>
        <v>#NUM!</v>
      </c>
      <c r="AD521" s="195" t="e">
        <f aca="false">DEGREES( _xlfn.ACOT( _xlfn.COT(AD$513)  *  COS(  _xlfn.ACOT( SIN(AD$513)  /  TAN($A521)    ))  *  SIGN( SIN($A521))))</f>
        <v>#NUM!</v>
      </c>
      <c r="AE521" s="1"/>
      <c r="AF521" s="1"/>
      <c r="AG521" s="1"/>
      <c r="AH521" s="1"/>
      <c r="AI521" s="1"/>
      <c r="AJ521" s="1"/>
      <c r="AK521" s="1"/>
      <c r="AL521" s="1"/>
    </row>
    <row r="522" customFormat="false" ht="12.75" hidden="false" customHeight="true" outlineLevel="0" collapsed="false">
      <c r="A522" s="192" t="n">
        <f aca="false">RADIANS(MOD(B522-180,-360)+180)</f>
        <v>2.0943951023932</v>
      </c>
      <c r="B522" s="182" t="n">
        <v>120</v>
      </c>
      <c r="C522" s="1"/>
      <c r="D522" s="264" t="n">
        <f aca="false">DEGREES( _xlfn.ACOT( _xlfn.COT(D$513)  *  COS(  _xlfn.ACOT( SIN(D$513)  /  TAN($A522)    ))))</f>
        <v>119.999999995</v>
      </c>
      <c r="E522" s="210" t="n">
        <f aca="false">DEGREES( _xlfn.ACOT( _xlfn.COT(E$513)  *  COS(  _xlfn.ACOT( SIN(E$513)  /  TAN($A522)    ))))</f>
        <v>118.879094017428</v>
      </c>
      <c r="F522" s="210" t="n">
        <f aca="false">DEGREES( _xlfn.ACOT( _xlfn.COT(F$513)  *  COS(  _xlfn.ACOT( SIN(F$513)  /  TAN($A522)    ))))</f>
        <v>115.658906273255</v>
      </c>
      <c r="G522" s="210" t="n">
        <f aca="false">DEGREES( _xlfn.ACOT( _xlfn.COT(G$513)  *  COS(  _xlfn.ACOT( SIN(G$513)  /  TAN($A522)    ))))</f>
        <v>110.704811054635</v>
      </c>
      <c r="H522" s="210" t="n">
        <f aca="false">DEGREES( _xlfn.ACOT( _xlfn.COT(H$513)  *  COS(  _xlfn.ACOT( SIN(H$513)  /  TAN($A522)    ))))</f>
        <v>104.47751218593</v>
      </c>
      <c r="I522" s="210" t="n">
        <f aca="false">DEGREES( _xlfn.ACOT( _xlfn.COT(I$513)  *  COS(  _xlfn.ACOT( SIN(I$513)  /  TAN($A522)    ))))</f>
        <v>97.4354722261318</v>
      </c>
      <c r="J522" s="264" t="n">
        <f aca="false">DEGREES( _xlfn.ACOT( _xlfn.COT(J$513)  *  COS(  _xlfn.ACOT( SIN(J$513)  /  TAN($A522)    ))))</f>
        <v>90</v>
      </c>
      <c r="K522" s="210" t="n">
        <f aca="false">DEGREES( _xlfn.ACOT( _xlfn.COT(K$513)  *  COS(  _xlfn.ACOT( SIN(K$513)  /  TAN($A522)    ))))</f>
        <v>82.5645277738682</v>
      </c>
      <c r="L522" s="210" t="n">
        <f aca="false">DEGREES( _xlfn.ACOT( _xlfn.COT(L$513)  *  COS(  _xlfn.ACOT( SIN(L$513)  /  TAN($A522)    ))))</f>
        <v>75.5224878140701</v>
      </c>
      <c r="M522" s="210" t="n">
        <f aca="false">DEGREES( _xlfn.ACOT( _xlfn.COT(M$513)  *  COS(  _xlfn.ACOT( SIN(M$513)  /  TAN($A522)    ))))</f>
        <v>69.2951889453646</v>
      </c>
      <c r="N522" s="210" t="n">
        <f aca="false">DEGREES( _xlfn.ACOT( _xlfn.COT(N$513)  *  COS(  _xlfn.ACOT( SIN(N$513)  /  TAN($A522)    ))))</f>
        <v>64.3410937267448</v>
      </c>
      <c r="O522" s="210" t="n">
        <f aca="false">DEGREES( _xlfn.ACOT( _xlfn.COT(O$513)  *  COS(  _xlfn.ACOT( SIN(O$513)  /  TAN($A522)    ))))</f>
        <v>61.1209059825724</v>
      </c>
      <c r="P522" s="264" t="n">
        <f aca="false">DEGREES( _xlfn.ACOT( _xlfn.COT(P$513)  *  COS(  _xlfn.ACOT( SIN(P$513)  /  TAN($A522)    ))))</f>
        <v>116.565051177078</v>
      </c>
      <c r="Q522" s="210" t="n">
        <f aca="false">DEGREES( _xlfn.ACOT( _xlfn.COT(Q$513)  *  COS(  _xlfn.ACOT( SIN(Q$513)  /  TAN($A522)    ))))</f>
        <v>61.1209059825724</v>
      </c>
      <c r="R522" s="210" t="n">
        <f aca="false">DEGREES( _xlfn.ACOT( _xlfn.COT(R$513)  *  COS(  _xlfn.ACOT( SIN(R$513)  /  TAN($A522)    ))))</f>
        <v>64.3410937267447</v>
      </c>
      <c r="S522" s="210" t="n">
        <f aca="false">DEGREES( _xlfn.ACOT( _xlfn.COT(S$513)  *  COS(  _xlfn.ACOT( SIN(S$513)  /  TAN($A522)    ))))</f>
        <v>69.2951889453646</v>
      </c>
      <c r="T522" s="210" t="n">
        <f aca="false">DEGREES( _xlfn.ACOT( _xlfn.COT(T$513)  *  COS(  _xlfn.ACOT( SIN(T$513)  /  TAN($A522)    ))))</f>
        <v>75.5224878140701</v>
      </c>
      <c r="U522" s="210" t="n">
        <f aca="false">DEGREES( _xlfn.ACOT( _xlfn.COT(U$513)  *  COS(  _xlfn.ACOT( SIN(U$513)  /  TAN($A522)    ))))</f>
        <v>82.5645277738682</v>
      </c>
      <c r="V522" s="264" t="n">
        <f aca="false">DEGREES( _xlfn.ACOT( _xlfn.COT(V$513)  *  COS(  _xlfn.ACOT( SIN(V$513)  /  TAN($A522)    ))))</f>
        <v>90</v>
      </c>
      <c r="W522" s="210" t="n">
        <f aca="false">DEGREES( _xlfn.ACOT( _xlfn.COT(W$513)  *  COS(  _xlfn.ACOT( SIN(W$513)  /  TAN($A522)    ))))</f>
        <v>97.4354722261318</v>
      </c>
      <c r="X522" s="210" t="n">
        <f aca="false">DEGREES( _xlfn.ACOT( _xlfn.COT(X$513)  *  COS(  _xlfn.ACOT( SIN(X$513)  /  TAN($A522)    ))))</f>
        <v>104.47751218593</v>
      </c>
      <c r="Y522" s="210" t="n">
        <f aca="false">DEGREES( _xlfn.ACOT( _xlfn.COT(Y$513)  *  COS(  _xlfn.ACOT( SIN(Y$513)  /  TAN($A522)    ))))</f>
        <v>110.704811054635</v>
      </c>
      <c r="Z522" s="210" t="n">
        <f aca="false">DEGREES( _xlfn.ACOT( _xlfn.COT(Z$513)  *  COS(  _xlfn.ACOT( SIN(Z$513)  /  TAN($A522)    ))))</f>
        <v>115.658906273255</v>
      </c>
      <c r="AA522" s="210" t="n">
        <f aca="false">DEGREES( _xlfn.ACOT( _xlfn.COT(AA$513)  *  COS(  _xlfn.ACOT( SIN(AA$513)  /  TAN($A522)    ))))</f>
        <v>118.879094017428</v>
      </c>
      <c r="AB522" s="264" t="n">
        <f aca="false">DEGREES( _xlfn.ACOT( _xlfn.COT(AB$513)  *  COS(  _xlfn.ACOT( SIN(AB$513)  /  TAN($A522)    ))))</f>
        <v>119.999999496161</v>
      </c>
      <c r="AC522" s="195" t="e">
        <f aca="false">DEGREES( _xlfn.ACOT( _xlfn.COT(AC$513)  *  COS(  _xlfn.ACOT( SIN(AC$513)  /  TAN($A522)    ))  *  SIGN( SIN($A522))))</f>
        <v>#NUM!</v>
      </c>
      <c r="AD522" s="195" t="e">
        <f aca="false">DEGREES( _xlfn.ACOT( _xlfn.COT(AD$513)  *  COS(  _xlfn.ACOT( SIN(AD$513)  /  TAN($A522)    ))  *  SIGN( SIN($A522))))</f>
        <v>#NUM!</v>
      </c>
      <c r="AE522" s="1"/>
      <c r="AF522" s="1"/>
      <c r="AG522" s="1"/>
      <c r="AH522" s="1"/>
      <c r="AI522" s="1"/>
      <c r="AJ522" s="1"/>
      <c r="AK522" s="1"/>
      <c r="AL522" s="1"/>
    </row>
    <row r="523" customFormat="false" ht="12.75" hidden="false" customHeight="true" outlineLevel="0" collapsed="false">
      <c r="A523" s="192" t="n">
        <f aca="false">RADIANS(MOD(B523-180,-360)+180)</f>
        <v>2.35619449019234</v>
      </c>
      <c r="B523" s="182" t="n">
        <v>135</v>
      </c>
      <c r="C523" s="1"/>
      <c r="D523" s="264" t="n">
        <f aca="false">DEGREES( _xlfn.ACOT( _xlfn.COT(D$513)  *  COS(  _xlfn.ACOT( SIN(D$513)  /  TAN($A523)    ))))</f>
        <v>134.999999991316</v>
      </c>
      <c r="E523" s="210" t="n">
        <f aca="false">DEGREES( _xlfn.ACOT( _xlfn.COT(E$513)  *  COS(  _xlfn.ACOT( SIN(E$513)  /  TAN($A523)    ))))</f>
        <v>133.079517141871</v>
      </c>
      <c r="F523" s="210" t="n">
        <f aca="false">DEGREES( _xlfn.ACOT( _xlfn.COT(F$513)  *  COS(  _xlfn.ACOT( SIN(F$513)  /  TAN($A523)    ))))</f>
        <v>127.761243907035</v>
      </c>
      <c r="G523" s="210" t="n">
        <f aca="false">DEGREES( _xlfn.ACOT( _xlfn.COT(G$513)  *  COS(  _xlfn.ACOT( SIN(G$513)  /  TAN($A523)    ))))</f>
        <v>120</v>
      </c>
      <c r="H523" s="210" t="n">
        <f aca="false">DEGREES( _xlfn.ACOT( _xlfn.COT(H$513)  *  COS(  _xlfn.ACOT( SIN(H$513)  /  TAN($A523)    ))))</f>
        <v>110.704811054635</v>
      </c>
      <c r="I523" s="210" t="n">
        <f aca="false">DEGREES( _xlfn.ACOT( _xlfn.COT(I$513)  *  COS(  _xlfn.ACOT( SIN(I$513)  /  TAN($A523)    ))))</f>
        <v>100.5452905895</v>
      </c>
      <c r="J523" s="264" t="n">
        <f aca="false">DEGREES( _xlfn.ACOT( _xlfn.COT(J$513)  *  COS(  _xlfn.ACOT( SIN(J$513)  /  TAN($A523)    ))))</f>
        <v>90</v>
      </c>
      <c r="K523" s="210" t="n">
        <f aca="false">DEGREES( _xlfn.ACOT( _xlfn.COT(K$513)  *  COS(  _xlfn.ACOT( SIN(K$513)  /  TAN($A523)    ))))</f>
        <v>79.4547094105004</v>
      </c>
      <c r="L523" s="210" t="n">
        <f aca="false">DEGREES( _xlfn.ACOT( _xlfn.COT(L$513)  *  COS(  _xlfn.ACOT( SIN(L$513)  /  TAN($A523)    ))))</f>
        <v>69.2951889453646</v>
      </c>
      <c r="M523" s="210" t="n">
        <f aca="false">DEGREES( _xlfn.ACOT( _xlfn.COT(M$513)  *  COS(  _xlfn.ACOT( SIN(M$513)  /  TAN($A523)    ))))</f>
        <v>60</v>
      </c>
      <c r="N523" s="210" t="n">
        <f aca="false">DEGREES( _xlfn.ACOT( _xlfn.COT(N$513)  *  COS(  _xlfn.ACOT( SIN(N$513)  /  TAN($A523)    ))))</f>
        <v>52.238756092965</v>
      </c>
      <c r="O523" s="210" t="n">
        <f aca="false">DEGREES( _xlfn.ACOT( _xlfn.COT(O$513)  *  COS(  _xlfn.ACOT( SIN(O$513)  /  TAN($A523)    ))))</f>
        <v>46.9204828581291</v>
      </c>
      <c r="P523" s="264" t="n">
        <f aca="false">DEGREES( _xlfn.ACOT( _xlfn.COT(P$513)  *  COS(  _xlfn.ACOT( SIN(P$513)  /  TAN($A523)    ))))</f>
        <v>37.2906567844342</v>
      </c>
      <c r="Q523" s="210" t="n">
        <f aca="false">DEGREES( _xlfn.ACOT( _xlfn.COT(Q$513)  *  COS(  _xlfn.ACOT( SIN(Q$513)  /  TAN($A523)    ))))</f>
        <v>46.9204828581291</v>
      </c>
      <c r="R523" s="210" t="n">
        <f aca="false">DEGREES( _xlfn.ACOT( _xlfn.COT(R$513)  *  COS(  _xlfn.ACOT( SIN(R$513)  /  TAN($A523)    ))))</f>
        <v>52.238756092965</v>
      </c>
      <c r="S523" s="210" t="n">
        <f aca="false">DEGREES( _xlfn.ACOT( _xlfn.COT(S$513)  *  COS(  _xlfn.ACOT( SIN(S$513)  /  TAN($A523)    ))))</f>
        <v>60</v>
      </c>
      <c r="T523" s="210" t="n">
        <f aca="false">DEGREES( _xlfn.ACOT( _xlfn.COT(T$513)  *  COS(  _xlfn.ACOT( SIN(T$513)  /  TAN($A523)    ))))</f>
        <v>69.2951889453646</v>
      </c>
      <c r="U523" s="210" t="n">
        <f aca="false">DEGREES( _xlfn.ACOT( _xlfn.COT(U$513)  *  COS(  _xlfn.ACOT( SIN(U$513)  /  TAN($A523)    ))))</f>
        <v>79.4547094105004</v>
      </c>
      <c r="V523" s="264" t="n">
        <f aca="false">DEGREES( _xlfn.ACOT( _xlfn.COT(V$513)  *  COS(  _xlfn.ACOT( SIN(V$513)  /  TAN($A523)    ))))</f>
        <v>90</v>
      </c>
      <c r="W523" s="210" t="n">
        <f aca="false">DEGREES( _xlfn.ACOT( _xlfn.COT(W$513)  *  COS(  _xlfn.ACOT( SIN(W$513)  /  TAN($A523)    ))))</f>
        <v>100.5452905895</v>
      </c>
      <c r="X523" s="210" t="n">
        <f aca="false">DEGREES( _xlfn.ACOT( _xlfn.COT(X$513)  *  COS(  _xlfn.ACOT( SIN(X$513)  /  TAN($A523)    ))))</f>
        <v>110.704811054635</v>
      </c>
      <c r="Y523" s="210" t="n">
        <f aca="false">DEGREES( _xlfn.ACOT( _xlfn.COT(Y$513)  *  COS(  _xlfn.ACOT( SIN(Y$513)  /  TAN($A523)    ))))</f>
        <v>120</v>
      </c>
      <c r="Z523" s="210" t="n">
        <f aca="false">DEGREES( _xlfn.ACOT( _xlfn.COT(Z$513)  *  COS(  _xlfn.ACOT( SIN(Z$513)  /  TAN($A523)    ))))</f>
        <v>127.761243907035</v>
      </c>
      <c r="AA523" s="210" t="n">
        <f aca="false">DEGREES( _xlfn.ACOT( _xlfn.COT(AA$513)  *  COS(  _xlfn.ACOT( SIN(AA$513)  /  TAN($A523)    ))))</f>
        <v>133.079517141871</v>
      </c>
      <c r="AB523" s="264" t="n">
        <f aca="false">DEGREES( _xlfn.ACOT( _xlfn.COT(AB$513)  *  COS(  _xlfn.ACOT( SIN(AB$513)  /  TAN($A523)    ))))</f>
        <v>134.999999127328</v>
      </c>
      <c r="AC523" s="195" t="e">
        <f aca="false">DEGREES( _xlfn.ACOT( _xlfn.COT(AC$513)  *  COS(  _xlfn.ACOT( SIN(AC$513)  /  TAN($A523)    ))  *  SIGN( SIN($A523))))</f>
        <v>#NUM!</v>
      </c>
      <c r="AD523" s="195" t="e">
        <f aca="false">DEGREES( _xlfn.ACOT( _xlfn.COT(AD$513)  *  COS(  _xlfn.ACOT( SIN(AD$513)  /  TAN($A523)    ))  *  SIGN( SIN($A523))))</f>
        <v>#NUM!</v>
      </c>
      <c r="AE523" s="1"/>
      <c r="AF523" s="1"/>
      <c r="AG523" s="1"/>
      <c r="AH523" s="1"/>
      <c r="AI523" s="1"/>
      <c r="AJ523" s="1"/>
      <c r="AK523" s="1"/>
      <c r="AL523" s="1"/>
    </row>
    <row r="524" customFormat="false" ht="12.75" hidden="false" customHeight="true" outlineLevel="0" collapsed="false">
      <c r="A524" s="192" t="n">
        <f aca="false">RADIANS(MOD(B524-180,-360)+180)</f>
        <v>2.61799387799149</v>
      </c>
      <c r="B524" s="182" t="n">
        <v>150</v>
      </c>
      <c r="C524" s="1"/>
      <c r="D524" s="264" t="n">
        <f aca="false">DEGREES( _xlfn.ACOT( _xlfn.COT(D$513)  *  COS(  _xlfn.ACOT( SIN(D$513)  /  TAN($A524)    ))))</f>
        <v>149.999999984816</v>
      </c>
      <c r="E524" s="210" t="n">
        <f aca="false">DEGREES( _xlfn.ACOT( _xlfn.COT(E$513)  *  COS(  _xlfn.ACOT( SIN(E$513)  /  TAN($A524)    ))))</f>
        <v>146.774057796712</v>
      </c>
      <c r="F524" s="210" t="n">
        <f aca="false">DEGREES( _xlfn.ACOT( _xlfn.COT(F$513)  *  COS(  _xlfn.ACOT( SIN(F$513)  /  TAN($A524)    ))))</f>
        <v>138.590377890729</v>
      </c>
      <c r="G524" s="210" t="n">
        <f aca="false">DEGREES( _xlfn.ACOT( _xlfn.COT(G$513)  *  COS(  _xlfn.ACOT( SIN(G$513)  /  TAN($A524)    ))))</f>
        <v>127.761243907035</v>
      </c>
      <c r="H524" s="210" t="n">
        <f aca="false">DEGREES( _xlfn.ACOT( _xlfn.COT(H$513)  *  COS(  _xlfn.ACOT( SIN(H$513)  /  TAN($A524)    ))))</f>
        <v>115.658906273255</v>
      </c>
      <c r="I524" s="210" t="n">
        <f aca="false">DEGREES( _xlfn.ACOT( _xlfn.COT(I$513)  *  COS(  _xlfn.ACOT( SIN(I$513)  /  TAN($A524)    ))))</f>
        <v>102.952539642222</v>
      </c>
      <c r="J524" s="264" t="n">
        <f aca="false">DEGREES( _xlfn.ACOT( _xlfn.COT(J$513)  *  COS(  _xlfn.ACOT( SIN(J$513)  /  TAN($A524)    ))))</f>
        <v>90</v>
      </c>
      <c r="K524" s="210" t="n">
        <f aca="false">DEGREES( _xlfn.ACOT( _xlfn.COT(K$513)  *  COS(  _xlfn.ACOT( SIN(K$513)  /  TAN($A524)    ))))</f>
        <v>77.0474603577776</v>
      </c>
      <c r="L524" s="210" t="n">
        <f aca="false">DEGREES( _xlfn.ACOT( _xlfn.COT(L$513)  *  COS(  _xlfn.ACOT( SIN(L$513)  /  TAN($A524)    ))))</f>
        <v>64.3410937267447</v>
      </c>
      <c r="M524" s="210" t="n">
        <f aca="false">DEGREES( _xlfn.ACOT( _xlfn.COT(M$513)  *  COS(  _xlfn.ACOT( SIN(M$513)  /  TAN($A524)    ))))</f>
        <v>52.238756092965</v>
      </c>
      <c r="N524" s="210" t="n">
        <f aca="false">DEGREES( _xlfn.ACOT( _xlfn.COT(N$513)  *  COS(  _xlfn.ACOT( SIN(N$513)  /  TAN($A524)    ))))</f>
        <v>41.4096221092709</v>
      </c>
      <c r="O524" s="210" t="n">
        <f aca="false">DEGREES( _xlfn.ACOT( _xlfn.COT(O$513)  *  COS(  _xlfn.ACOT( SIN(O$513)  /  TAN($A524)    ))))</f>
        <v>33.2259422032876</v>
      </c>
      <c r="P524" s="264" t="n">
        <f aca="false">DEGREES( _xlfn.ACOT( _xlfn.COT(P$513)  *  COS(  _xlfn.ACOT( SIN(P$513)  /  TAN($A524)    ))))</f>
        <v>37.2906567844342</v>
      </c>
      <c r="Q524" s="210" t="n">
        <f aca="false">DEGREES( _xlfn.ACOT( _xlfn.COT(Q$513)  *  COS(  _xlfn.ACOT( SIN(Q$513)  /  TAN($A524)    ))))</f>
        <v>33.2259422032876</v>
      </c>
      <c r="R524" s="210" t="n">
        <f aca="false">DEGREES( _xlfn.ACOT( _xlfn.COT(R$513)  *  COS(  _xlfn.ACOT( SIN(R$513)  /  TAN($A524)    ))))</f>
        <v>41.4096221092709</v>
      </c>
      <c r="S524" s="210" t="n">
        <f aca="false">DEGREES( _xlfn.ACOT( _xlfn.COT(S$513)  *  COS(  _xlfn.ACOT( SIN(S$513)  /  TAN($A524)    ))))</f>
        <v>52.238756092965</v>
      </c>
      <c r="T524" s="210" t="n">
        <f aca="false">DEGREES( _xlfn.ACOT( _xlfn.COT(T$513)  *  COS(  _xlfn.ACOT( SIN(T$513)  /  TAN($A524)    ))))</f>
        <v>64.3410937267447</v>
      </c>
      <c r="U524" s="210" t="n">
        <f aca="false">DEGREES( _xlfn.ACOT( _xlfn.COT(U$513)  *  COS(  _xlfn.ACOT( SIN(U$513)  /  TAN($A524)    ))))</f>
        <v>77.0474603577776</v>
      </c>
      <c r="V524" s="264" t="n">
        <f aca="false">DEGREES( _xlfn.ACOT( _xlfn.COT(V$513)  *  COS(  _xlfn.ACOT( SIN(V$513)  /  TAN($A524)    ))))</f>
        <v>90</v>
      </c>
      <c r="W524" s="210" t="n">
        <f aca="false">DEGREES( _xlfn.ACOT( _xlfn.COT(W$513)  *  COS(  _xlfn.ACOT( SIN(W$513)  /  TAN($A524)    ))))</f>
        <v>102.952539642222</v>
      </c>
      <c r="X524" s="210" t="n">
        <f aca="false">DEGREES( _xlfn.ACOT( _xlfn.COT(X$513)  *  COS(  _xlfn.ACOT( SIN(X$513)  /  TAN($A524)    ))))</f>
        <v>115.658906273255</v>
      </c>
      <c r="Y524" s="210" t="n">
        <f aca="false">DEGREES( _xlfn.ACOT( _xlfn.COT(Y$513)  *  COS(  _xlfn.ACOT( SIN(Y$513)  /  TAN($A524)    ))))</f>
        <v>127.761243907035</v>
      </c>
      <c r="Z524" s="210" t="n">
        <f aca="false">DEGREES( _xlfn.ACOT( _xlfn.COT(Z$513)  *  COS(  _xlfn.ACOT( SIN(Z$513)  /  TAN($A524)    ))))</f>
        <v>138.590377890729</v>
      </c>
      <c r="AA524" s="210" t="n">
        <f aca="false">DEGREES( _xlfn.ACOT( _xlfn.COT(AA$513)  *  COS(  _xlfn.ACOT( SIN(AA$513)  /  TAN($A524)    ))))</f>
        <v>146.774057796712</v>
      </c>
      <c r="AB524" s="264" t="n">
        <f aca="false">DEGREES( _xlfn.ACOT( _xlfn.COT(AB$513)  *  COS(  _xlfn.ACOT( SIN(AB$513)  /  TAN($A524)    ))))</f>
        <v>149.999998488499</v>
      </c>
      <c r="AC524" s="195" t="e">
        <f aca="false">DEGREES( _xlfn.ACOT( _xlfn.COT(AC$513)  *  COS(  _xlfn.ACOT( SIN(AC$513)  /  TAN($A524)    ))  *  SIGN( SIN($A524))))</f>
        <v>#NUM!</v>
      </c>
      <c r="AD524" s="195" t="e">
        <f aca="false">DEGREES( _xlfn.ACOT( _xlfn.COT(AD$513)  *  COS(  _xlfn.ACOT( SIN(AD$513)  /  TAN($A524)    ))  *  SIGN( SIN($A524))))</f>
        <v>#NUM!</v>
      </c>
      <c r="AE524" s="1"/>
      <c r="AF524" s="1"/>
      <c r="AG524" s="1"/>
      <c r="AH524" s="1"/>
      <c r="AI524" s="1"/>
      <c r="AJ524" s="1"/>
      <c r="AK524" s="1"/>
      <c r="AL524" s="1"/>
    </row>
    <row r="525" customFormat="false" ht="12.75" hidden="false" customHeight="true" outlineLevel="0" collapsed="false">
      <c r="A525" s="192" t="n">
        <f aca="false">RADIANS(MOD(B525-180,-360)+180)</f>
        <v>2.87979326579064</v>
      </c>
      <c r="B525" s="182" t="n">
        <v>165</v>
      </c>
      <c r="C525" s="1"/>
      <c r="D525" s="264" t="n">
        <f aca="false">DEGREES( _xlfn.ACOT( _xlfn.COT(D$513)  *  COS(  _xlfn.ACOT( SIN(D$513)  /  TAN($A525)    ))))</f>
        <v>164.999999967424</v>
      </c>
      <c r="E525" s="210" t="n">
        <f aca="false">DEGREES( _xlfn.ACOT( _xlfn.COT(E$513)  *  COS(  _xlfn.ACOT( SIN(E$513)  /  TAN($A525)    ))))</f>
        <v>158.909418821001</v>
      </c>
      <c r="F525" s="210" t="n">
        <f aca="false">DEGREES( _xlfn.ACOT( _xlfn.COT(F$513)  *  COS(  _xlfn.ACOT( SIN(F$513)  /  TAN($A525)    ))))</f>
        <v>146.774057796712</v>
      </c>
      <c r="G525" s="210" t="n">
        <f aca="false">DEGREES( _xlfn.ACOT( _xlfn.COT(G$513)  *  COS(  _xlfn.ACOT( SIN(G$513)  /  TAN($A525)    ))))</f>
        <v>133.079517141871</v>
      </c>
      <c r="H525" s="210" t="n">
        <f aca="false">DEGREES( _xlfn.ACOT( _xlfn.COT(H$513)  *  COS(  _xlfn.ACOT( SIN(H$513)  /  TAN($A525)    ))))</f>
        <v>118.879094017428</v>
      </c>
      <c r="I525" s="210" t="n">
        <f aca="false">DEGREES( _xlfn.ACOT( _xlfn.COT(I$513)  *  COS(  _xlfn.ACOT( SIN(I$513)  /  TAN($A525)    ))))</f>
        <v>104.47751218593</v>
      </c>
      <c r="J525" s="264" t="n">
        <f aca="false">DEGREES( _xlfn.ACOT( _xlfn.COT(J$513)  *  COS(  _xlfn.ACOT( SIN(J$513)  /  TAN($A525)    ))))</f>
        <v>90</v>
      </c>
      <c r="K525" s="210" t="n">
        <f aca="false">DEGREES( _xlfn.ACOT( _xlfn.COT(K$513)  *  COS(  _xlfn.ACOT( SIN(K$513)  /  TAN($A525)    ))))</f>
        <v>75.5224878140701</v>
      </c>
      <c r="L525" s="210" t="n">
        <f aca="false">DEGREES( _xlfn.ACOT( _xlfn.COT(L$513)  *  COS(  _xlfn.ACOT( SIN(L$513)  /  TAN($A525)    ))))</f>
        <v>61.1209059825724</v>
      </c>
      <c r="M525" s="210" t="n">
        <f aca="false">DEGREES( _xlfn.ACOT( _xlfn.COT(M$513)  *  COS(  _xlfn.ACOT( SIN(M$513)  /  TAN($A525)    ))))</f>
        <v>46.9204828581291</v>
      </c>
      <c r="N525" s="210" t="n">
        <f aca="false">DEGREES( _xlfn.ACOT( _xlfn.COT(N$513)  *  COS(  _xlfn.ACOT( SIN(N$513)  /  TAN($A525)    ))))</f>
        <v>33.2259422032876</v>
      </c>
      <c r="O525" s="210" t="n">
        <f aca="false">DEGREES( _xlfn.ACOT( _xlfn.COT(O$513)  *  COS(  _xlfn.ACOT( SIN(O$513)  /  TAN($A525)    ))))</f>
        <v>21.0905811789991</v>
      </c>
      <c r="P525" s="264" t="n">
        <f aca="false">DEGREES( _xlfn.ACOT( _xlfn.COT(P$513)  *  COS(  _xlfn.ACOT( SIN(P$513)  /  TAN($A525)    ))))</f>
        <v>17.7379491323883</v>
      </c>
      <c r="Q525" s="210" t="n">
        <f aca="false">DEGREES( _xlfn.ACOT( _xlfn.COT(Q$513)  *  COS(  _xlfn.ACOT( SIN(Q$513)  /  TAN($A525)    ))))</f>
        <v>21.0905811789991</v>
      </c>
      <c r="R525" s="210" t="n">
        <f aca="false">DEGREES( _xlfn.ACOT( _xlfn.COT(R$513)  *  COS(  _xlfn.ACOT( SIN(R$513)  /  TAN($A525)    ))))</f>
        <v>33.2259422032876</v>
      </c>
      <c r="S525" s="210" t="n">
        <f aca="false">DEGREES( _xlfn.ACOT( _xlfn.COT(S$513)  *  COS(  _xlfn.ACOT( SIN(S$513)  /  TAN($A525)    ))))</f>
        <v>46.9204828581291</v>
      </c>
      <c r="T525" s="210" t="n">
        <f aca="false">DEGREES( _xlfn.ACOT( _xlfn.COT(T$513)  *  COS(  _xlfn.ACOT( SIN(T$513)  /  TAN($A525)    ))))</f>
        <v>61.1209059825724</v>
      </c>
      <c r="U525" s="210" t="n">
        <f aca="false">DEGREES( _xlfn.ACOT( _xlfn.COT(U$513)  *  COS(  _xlfn.ACOT( SIN(U$513)  /  TAN($A525)    ))))</f>
        <v>75.5224878140701</v>
      </c>
      <c r="V525" s="264" t="n">
        <f aca="false">DEGREES( _xlfn.ACOT( _xlfn.COT(V$513)  *  COS(  _xlfn.ACOT( SIN(V$513)  /  TAN($A525)    ))))</f>
        <v>90</v>
      </c>
      <c r="W525" s="210" t="n">
        <f aca="false">DEGREES( _xlfn.ACOT( _xlfn.COT(W$513)  *  COS(  _xlfn.ACOT( SIN(W$513)  /  TAN($A525)    ))))</f>
        <v>104.47751218593</v>
      </c>
      <c r="X525" s="210" t="n">
        <f aca="false">DEGREES( _xlfn.ACOT( _xlfn.COT(X$513)  *  COS(  _xlfn.ACOT( SIN(X$513)  /  TAN($A525)    ))))</f>
        <v>118.879094017428</v>
      </c>
      <c r="Y525" s="210" t="n">
        <f aca="false">DEGREES( _xlfn.ACOT( _xlfn.COT(Y$513)  *  COS(  _xlfn.ACOT( SIN(Y$513)  /  TAN($A525)    ))))</f>
        <v>133.079517141871</v>
      </c>
      <c r="Z525" s="210" t="n">
        <f aca="false">DEGREES( _xlfn.ACOT( _xlfn.COT(Z$513)  *  COS(  _xlfn.ACOT( SIN(Z$513)  /  TAN($A525)    ))))</f>
        <v>146.774057796712</v>
      </c>
      <c r="AA525" s="210" t="n">
        <f aca="false">DEGREES( _xlfn.ACOT( _xlfn.COT(AA$513)  *  COS(  _xlfn.ACOT( SIN(AA$513)  /  TAN($A525)    ))))</f>
        <v>158.909418821001</v>
      </c>
      <c r="AB525" s="264" t="n">
        <f aca="false">DEGREES( _xlfn.ACOT( _xlfn.COT(AB$513)  *  COS(  _xlfn.ACOT( SIN(AB$513)  /  TAN($A525)    ))))</f>
        <v>164.999996743171</v>
      </c>
      <c r="AC525" s="195" t="e">
        <f aca="false">DEGREES( _xlfn.ACOT( _xlfn.COT(AC$513)  *  COS(  _xlfn.ACOT( SIN(AC$513)  /  TAN($A525)    ))  *  SIGN( SIN($A525))))</f>
        <v>#NUM!</v>
      </c>
      <c r="AD525" s="195" t="e">
        <f aca="false">DEGREES( _xlfn.ACOT( _xlfn.COT(AD$513)  *  COS(  _xlfn.ACOT( SIN(AD$513)  /  TAN($A525)    ))  *  SIGN( SIN($A525))))</f>
        <v>#NUM!</v>
      </c>
      <c r="AE525" s="1"/>
      <c r="AF525" s="1"/>
      <c r="AG525" s="1"/>
      <c r="AH525" s="1"/>
      <c r="AI525" s="1"/>
      <c r="AJ525" s="1"/>
      <c r="AK525" s="1"/>
      <c r="AL525" s="1"/>
    </row>
    <row r="526" customFormat="false" ht="12.75" hidden="false" customHeight="true" outlineLevel="0" collapsed="false">
      <c r="A526" s="192" t="n">
        <f aca="false">RADIANS(MOD(B526-180,-360)+180)</f>
        <v>3.14159265358979</v>
      </c>
      <c r="B526" s="182" t="n">
        <v>180</v>
      </c>
      <c r="C526" s="1"/>
      <c r="D526" s="264" t="n">
        <f aca="false">DEGREES( _xlfn.ACOT( _xlfn.COT(D$513)  *  COS(  _xlfn.ACOT( SIN(D$513)  /  TAN($A526)    ))))</f>
        <v>179.999</v>
      </c>
      <c r="E526" s="264" t="n">
        <f aca="false">DEGREES( _xlfn.ACOT( _xlfn.COT(E$513)  *  COS(  _xlfn.ACOT( SIN(E$513)  /  TAN($A526)    ))))</f>
        <v>165</v>
      </c>
      <c r="F526" s="264" t="n">
        <f aca="false">DEGREES( _xlfn.ACOT( _xlfn.COT(F$513)  *  COS(  _xlfn.ACOT( SIN(F$513)  /  TAN($A526)    ))))</f>
        <v>150</v>
      </c>
      <c r="G526" s="264" t="n">
        <f aca="false">DEGREES( _xlfn.ACOT( _xlfn.COT(G$513)  *  COS(  _xlfn.ACOT( SIN(G$513)  /  TAN($A526)    ))))</f>
        <v>135</v>
      </c>
      <c r="H526" s="264" t="n">
        <f aca="false">DEGREES( _xlfn.ACOT( _xlfn.COT(H$513)  *  COS(  _xlfn.ACOT( SIN(H$513)  /  TAN($A526)    ))))</f>
        <v>120</v>
      </c>
      <c r="I526" s="264" t="n">
        <f aca="false">DEGREES( _xlfn.ACOT( _xlfn.COT(I$513)  *  COS(  _xlfn.ACOT( SIN(I$513)  /  TAN($A526)    ))))</f>
        <v>105</v>
      </c>
      <c r="J526" s="264" t="n">
        <f aca="false">DEGREES( _xlfn.ACOT( _xlfn.COT(J$513)  *  COS(  _xlfn.ACOT( SIN(J$513)  /  TAN($A526)    ))))</f>
        <v>90</v>
      </c>
      <c r="K526" s="264" t="n">
        <f aca="false">DEGREES( _xlfn.ACOT( _xlfn.COT(K$513)  *  COS(  _xlfn.ACOT( SIN(K$513)  /  TAN($A526)    ))))</f>
        <v>75</v>
      </c>
      <c r="L526" s="264" t="n">
        <f aca="false">DEGREES( _xlfn.ACOT( _xlfn.COT(L$513)  *  COS(  _xlfn.ACOT( SIN(L$513)  /  TAN($A526)    ))))</f>
        <v>60</v>
      </c>
      <c r="M526" s="264" t="n">
        <f aca="false">DEGREES( _xlfn.ACOT( _xlfn.COT(M$513)  *  COS(  _xlfn.ACOT( SIN(M$513)  /  TAN($A526)    ))))</f>
        <v>45</v>
      </c>
      <c r="N526" s="264" t="n">
        <f aca="false">DEGREES( _xlfn.ACOT( _xlfn.COT(N$513)  *  COS(  _xlfn.ACOT( SIN(N$513)  /  TAN($A526)    ))))</f>
        <v>30</v>
      </c>
      <c r="O526" s="264" t="n">
        <f aca="false">DEGREES( _xlfn.ACOT( _xlfn.COT(O$513)  *  COS(  _xlfn.ACOT( SIN(O$513)  /  TAN($A526)    ))))</f>
        <v>15</v>
      </c>
      <c r="P526" s="264" t="n">
        <f aca="false">DEGREES( _xlfn.ACOT( _xlfn.COT(P$513)  *  COS(  _xlfn.ACOT( SIN(P$513)  /  TAN($A526)    ))))</f>
        <v>1.27222187258541E-014</v>
      </c>
      <c r="Q526" s="264" t="n">
        <f aca="false">DEGREES( _xlfn.ACOT( _xlfn.COT(Q$513)  *  COS(  _xlfn.ACOT( SIN(Q$513)  /  TAN($A526)    ))))</f>
        <v>15</v>
      </c>
      <c r="R526" s="264" t="n">
        <f aca="false">DEGREES( _xlfn.ACOT( _xlfn.COT(R$513)  *  COS(  _xlfn.ACOT( SIN(R$513)  /  TAN($A526)    ))))</f>
        <v>30</v>
      </c>
      <c r="S526" s="264" t="n">
        <f aca="false">DEGREES( _xlfn.ACOT( _xlfn.COT(S$513)  *  COS(  _xlfn.ACOT( SIN(S$513)  /  TAN($A526)    ))))</f>
        <v>45</v>
      </c>
      <c r="T526" s="264" t="n">
        <f aca="false">DEGREES( _xlfn.ACOT( _xlfn.COT(T$513)  *  COS(  _xlfn.ACOT( SIN(T$513)  /  TAN($A526)    ))))</f>
        <v>60</v>
      </c>
      <c r="U526" s="264" t="n">
        <f aca="false">DEGREES( _xlfn.ACOT( _xlfn.COT(U$513)  *  COS(  _xlfn.ACOT( SIN(U$513)  /  TAN($A526)    ))))</f>
        <v>75</v>
      </c>
      <c r="V526" s="264" t="n">
        <f aca="false">DEGREES( _xlfn.ACOT( _xlfn.COT(V$513)  *  COS(  _xlfn.ACOT( SIN(V$513)  /  TAN($A526)    ))))</f>
        <v>90</v>
      </c>
      <c r="W526" s="264" t="n">
        <f aca="false">DEGREES( _xlfn.ACOT( _xlfn.COT(W$513)  *  COS(  _xlfn.ACOT( SIN(W$513)  /  TAN($A526)    ))))</f>
        <v>105</v>
      </c>
      <c r="X526" s="264" t="n">
        <f aca="false">DEGREES( _xlfn.ACOT( _xlfn.COT(X$513)  *  COS(  _xlfn.ACOT( SIN(X$513)  /  TAN($A526)    ))))</f>
        <v>120</v>
      </c>
      <c r="Y526" s="264" t="n">
        <f aca="false">DEGREES( _xlfn.ACOT( _xlfn.COT(Y$513)  *  COS(  _xlfn.ACOT( SIN(Y$513)  /  TAN($A526)    ))))</f>
        <v>135</v>
      </c>
      <c r="Z526" s="264" t="n">
        <f aca="false">DEGREES( _xlfn.ACOT( _xlfn.COT(Z$513)  *  COS(  _xlfn.ACOT( SIN(Z$513)  /  TAN($A526)    ))))</f>
        <v>150</v>
      </c>
      <c r="AA526" s="264" t="n">
        <f aca="false">DEGREES( _xlfn.ACOT( _xlfn.COT(AA$513)  *  COS(  _xlfn.ACOT( SIN(AA$513)  /  TAN($A526)    ))))</f>
        <v>165</v>
      </c>
      <c r="AB526" s="264" t="n">
        <f aca="false">DEGREES( _xlfn.ACOT( _xlfn.COT(AB$513)  *  COS(  _xlfn.ACOT( SIN(AB$513)  /  TAN($A526)    ))))</f>
        <v>179.99</v>
      </c>
      <c r="AC526" s="195" t="e">
        <f aca="false">DEGREES( _xlfn.ACOT( _xlfn.COT(AC$513)  *  COS(  _xlfn.ACOT( SIN(AC$513)  /  TAN($A526)    ))  *  SIGN( SIN($A526))))</f>
        <v>#NUM!</v>
      </c>
      <c r="AD526" s="195" t="e">
        <f aca="false">DEGREES( _xlfn.ACOT( _xlfn.COT(AD$513)  *  COS(  _xlfn.ACOT( SIN(AD$513)  /  TAN($A526)    ))  *  SIGN( SIN($A526))))</f>
        <v>#NUM!</v>
      </c>
      <c r="AE526" s="1"/>
      <c r="AF526" s="1"/>
      <c r="AG526" s="1"/>
      <c r="AH526" s="1"/>
      <c r="AI526" s="1"/>
      <c r="AJ526" s="1"/>
      <c r="AK526" s="1"/>
      <c r="AL526" s="1"/>
    </row>
    <row r="527" customFormat="false" ht="12.75" hidden="false" customHeight="true" outlineLevel="0" collapsed="false">
      <c r="A527" s="193" t="n">
        <f aca="false">RADIANS(MOD(B527-180,-360)+180)</f>
        <v>-2.87979326579064</v>
      </c>
      <c r="B527" s="182" t="n">
        <v>195</v>
      </c>
      <c r="C527" s="1"/>
      <c r="D527" s="264" t="n">
        <f aca="false">DEGREES( _xlfn.ACOT( _xlfn.COT(D$513)  *  COS(  _xlfn.ACOT( SIN(D$513)  /  TAN($A527)    ))  *  SIGN( SIN($A527))))</f>
        <v>164.999999967451</v>
      </c>
      <c r="E527" s="249" t="n">
        <f aca="false">DEGREES( _xlfn.ACOT( _xlfn.COT(E$513)  *  COS(  _xlfn.ACOT( SIN(E$513)  /  TAN($A527)    ))  *  SIGN( SIN($A527))))</f>
        <v>158.909418821001</v>
      </c>
      <c r="F527" s="249" t="n">
        <f aca="false">DEGREES( _xlfn.ACOT( _xlfn.COT(F$513)  *  COS(  _xlfn.ACOT( SIN(F$513)  /  TAN($A527)    ))  *  SIGN( SIN($A527))))</f>
        <v>146.774057796712</v>
      </c>
      <c r="G527" s="249" t="n">
        <f aca="false">DEGREES( _xlfn.ACOT( _xlfn.COT(G$513)  *  COS(  _xlfn.ACOT( SIN(G$513)  /  TAN($A527)    ))  *  SIGN( SIN($A527))))</f>
        <v>133.079517141871</v>
      </c>
      <c r="H527" s="249" t="n">
        <f aca="false">DEGREES( _xlfn.ACOT( _xlfn.COT(H$513)  *  COS(  _xlfn.ACOT( SIN(H$513)  /  TAN($A527)    ))  *  SIGN( SIN($A527))))</f>
        <v>118.879094017428</v>
      </c>
      <c r="I527" s="249" t="n">
        <f aca="false">DEGREES( _xlfn.ACOT( _xlfn.COT(I$513)  *  COS(  _xlfn.ACOT( SIN(I$513)  /  TAN($A527)    ))  *  SIGN( SIN($A527))))</f>
        <v>104.47751218593</v>
      </c>
      <c r="J527" s="264" t="n">
        <f aca="false">DEGREES( _xlfn.ACOT( _xlfn.COT(J$513)  *  COS(  _xlfn.ACOT( SIN(J$513)  /  TAN($A527)    ))  *  SIGN( SIN($A527))))</f>
        <v>90</v>
      </c>
      <c r="K527" s="249" t="n">
        <f aca="false">DEGREES( _xlfn.ACOT( _xlfn.COT(K$513)  *  COS(  _xlfn.ACOT( SIN(K$513)  /  TAN($A527)    ))  *  SIGN( SIN($A527))))</f>
        <v>75.5224878140701</v>
      </c>
      <c r="L527" s="249" t="n">
        <f aca="false">DEGREES( _xlfn.ACOT( _xlfn.COT(L$513)  *  COS(  _xlfn.ACOT( SIN(L$513)  /  TAN($A527)    ))  *  SIGN( SIN($A527))))</f>
        <v>61.1209059825724</v>
      </c>
      <c r="M527" s="249" t="n">
        <f aca="false">DEGREES( _xlfn.ACOT( _xlfn.COT(M$513)  *  COS(  _xlfn.ACOT( SIN(M$513)  /  TAN($A527)    ))  *  SIGN( SIN($A527))))</f>
        <v>46.9204828581291</v>
      </c>
      <c r="N527" s="249" t="n">
        <f aca="false">DEGREES( _xlfn.ACOT( _xlfn.COT(N$513)  *  COS(  _xlfn.ACOT( SIN(N$513)  /  TAN($A527)    ))  *  SIGN( SIN($A527))))</f>
        <v>33.2259422032876</v>
      </c>
      <c r="O527" s="249" t="n">
        <f aca="false">DEGREES( _xlfn.ACOT( _xlfn.COT(O$513)  *  COS(  _xlfn.ACOT( SIN(O$513)  /  TAN($A527)    ))  *  SIGN( SIN($A527))))</f>
        <v>21.0905811789991</v>
      </c>
      <c r="P527" s="264" t="n">
        <f aca="false">DEGREES( _xlfn.ACOT( _xlfn.COT(P$513)  *  COS(  _xlfn.ACOT( SIN(P$513)  /  TAN($A527)    ))  *  SIGN( SIN($A527))))</f>
        <v>13.6229773783871</v>
      </c>
      <c r="Q527" s="249" t="n">
        <f aca="false">DEGREES( _xlfn.ACOT( _xlfn.COT(Q$513)  *  COS(  _xlfn.ACOT( SIN(Q$513)  /  TAN($A527)    ))  *  SIGN( SIN($A527))))</f>
        <v>21.0905811789991</v>
      </c>
      <c r="R527" s="249" t="n">
        <f aca="false">DEGREES( _xlfn.ACOT( _xlfn.COT(R$513)  *  COS(  _xlfn.ACOT( SIN(R$513)  /  TAN($A527)    ))  *  SIGN( SIN($A527))))</f>
        <v>33.2259422032876</v>
      </c>
      <c r="S527" s="249" t="n">
        <f aca="false">DEGREES( _xlfn.ACOT( _xlfn.COT(S$513)  *  COS(  _xlfn.ACOT( SIN(S$513)  /  TAN($A527)    ))  *  SIGN( SIN($A527))))</f>
        <v>46.9204828581291</v>
      </c>
      <c r="T527" s="249" t="n">
        <f aca="false">DEGREES( _xlfn.ACOT( _xlfn.COT(T$513)  *  COS(  _xlfn.ACOT( SIN(T$513)  /  TAN($A527)    ))  *  SIGN( SIN($A527))))</f>
        <v>61.1209059825724</v>
      </c>
      <c r="U527" s="249" t="n">
        <f aca="false">DEGREES( _xlfn.ACOT( _xlfn.COT(U$513)  *  COS(  _xlfn.ACOT( SIN(U$513)  /  TAN($A527)    ))  *  SIGN( SIN($A527))))</f>
        <v>75.5224878140701</v>
      </c>
      <c r="V527" s="264" t="n">
        <f aca="false">DEGREES( _xlfn.ACOT( _xlfn.COT(V$513)  *  COS(  _xlfn.ACOT( SIN(V$513)  /  TAN($A527)    ))  *  SIGN( SIN($A527))))</f>
        <v>90</v>
      </c>
      <c r="W527" s="249" t="n">
        <f aca="false">DEGREES( _xlfn.ACOT( _xlfn.COT(W$513)  *  COS(  _xlfn.ACOT( SIN(W$513)  /  TAN($A527)    ))  *  SIGN( SIN($A527))))</f>
        <v>104.47751218593</v>
      </c>
      <c r="X527" s="249" t="n">
        <f aca="false">DEGREES( _xlfn.ACOT( _xlfn.COT(X$513)  *  COS(  _xlfn.ACOT( SIN(X$513)  /  TAN($A527)    ))  *  SIGN( SIN($A527))))</f>
        <v>118.879094017428</v>
      </c>
      <c r="Y527" s="249" t="n">
        <f aca="false">DEGREES( _xlfn.ACOT( _xlfn.COT(Y$513)  *  COS(  _xlfn.ACOT( SIN(Y$513)  /  TAN($A527)    ))  *  SIGN( SIN($A527))))</f>
        <v>133.079517141871</v>
      </c>
      <c r="Z527" s="249" t="n">
        <f aca="false">DEGREES( _xlfn.ACOT( _xlfn.COT(Z$513)  *  COS(  _xlfn.ACOT( SIN(Z$513)  /  TAN($A527)    ))  *  SIGN( SIN($A527))))</f>
        <v>146.774057796712</v>
      </c>
      <c r="AA527" s="249" t="n">
        <f aca="false">DEGREES( _xlfn.ACOT( _xlfn.COT(AA$513)  *  COS(  _xlfn.ACOT( SIN(AA$513)  /  TAN($A527)    ))  *  SIGN( SIN($A527))))</f>
        <v>158.909418821001</v>
      </c>
      <c r="AB527" s="264" t="n">
        <f aca="false">DEGREES( _xlfn.ACOT( _xlfn.COT(AB$513)  *  COS(  _xlfn.ACOT( SIN(AB$513)  /  TAN($A527)    ))  *  SIGN( SIN($A527))))</f>
        <v>164.999996743168</v>
      </c>
      <c r="AC527" s="195" t="e">
        <f aca="false">DEGREES( _xlfn.ACOT( _xlfn.COT(AC$513)  *  COS(  _xlfn.ACOT( SIN(AC$513)  /  TAN($A527)    ))  *  SIGN( SIN($A527))))</f>
        <v>#NUM!</v>
      </c>
      <c r="AD527" s="195" t="e">
        <f aca="false">DEGREES( _xlfn.ACOT( _xlfn.COT(AD$513)  *  COS(  _xlfn.ACOT( SIN(AD$513)  /  TAN($A527)    ))  *  SIGN( SIN($A527))))</f>
        <v>#NUM!</v>
      </c>
      <c r="AE527" s="1"/>
      <c r="AF527" s="1"/>
      <c r="AG527" s="1"/>
      <c r="AH527" s="1"/>
      <c r="AI527" s="1"/>
      <c r="AJ527" s="1"/>
      <c r="AK527" s="1"/>
      <c r="AL527" s="1"/>
    </row>
    <row r="528" customFormat="false" ht="12.75" hidden="false" customHeight="true" outlineLevel="0" collapsed="false">
      <c r="A528" s="193" t="n">
        <f aca="false">RADIANS(MOD(B528-180,-360)+180)</f>
        <v>-2.61799387799149</v>
      </c>
      <c r="B528" s="182" t="n">
        <v>210</v>
      </c>
      <c r="C528" s="1"/>
      <c r="D528" s="264" t="n">
        <f aca="false">DEGREES( _xlfn.ACOT( _xlfn.COT(D$513)  *  COS(  _xlfn.ACOT( SIN(D$513)  /  TAN($A528)    ))  *  SIGN( SIN($A528))))</f>
        <v>149.999999984917</v>
      </c>
      <c r="E528" s="249" t="n">
        <f aca="false">DEGREES( _xlfn.ACOT( _xlfn.COT(E$513)  *  COS(  _xlfn.ACOT( SIN(E$513)  /  TAN($A528)    ))  *  SIGN( SIN($A528))))</f>
        <v>146.774057796712</v>
      </c>
      <c r="F528" s="249" t="n">
        <f aca="false">DEGREES( _xlfn.ACOT( _xlfn.COT(F$513)  *  COS(  _xlfn.ACOT( SIN(F$513)  /  TAN($A528)    ))  *  SIGN( SIN($A528))))</f>
        <v>138.590377890729</v>
      </c>
      <c r="G528" s="249" t="n">
        <f aca="false">DEGREES( _xlfn.ACOT( _xlfn.COT(G$513)  *  COS(  _xlfn.ACOT( SIN(G$513)  /  TAN($A528)    ))  *  SIGN( SIN($A528))))</f>
        <v>127.761243907035</v>
      </c>
      <c r="H528" s="249" t="n">
        <f aca="false">DEGREES( _xlfn.ACOT( _xlfn.COT(H$513)  *  COS(  _xlfn.ACOT( SIN(H$513)  /  TAN($A528)    ))  *  SIGN( SIN($A528))))</f>
        <v>115.658906273255</v>
      </c>
      <c r="I528" s="249" t="n">
        <f aca="false">DEGREES( _xlfn.ACOT( _xlfn.COT(I$513)  *  COS(  _xlfn.ACOT( SIN(I$513)  /  TAN($A528)    ))  *  SIGN( SIN($A528))))</f>
        <v>102.952539642222</v>
      </c>
      <c r="J528" s="264" t="n">
        <f aca="false">DEGREES( _xlfn.ACOT( _xlfn.COT(J$513)  *  COS(  _xlfn.ACOT( SIN(J$513)  /  TAN($A528)    ))  *  SIGN( SIN($A528))))</f>
        <v>90</v>
      </c>
      <c r="K528" s="249" t="n">
        <f aca="false">DEGREES( _xlfn.ACOT( _xlfn.COT(K$513)  *  COS(  _xlfn.ACOT( SIN(K$513)  /  TAN($A528)    ))  *  SIGN( SIN($A528))))</f>
        <v>77.0474603577776</v>
      </c>
      <c r="L528" s="249" t="n">
        <f aca="false">DEGREES( _xlfn.ACOT( _xlfn.COT(L$513)  *  COS(  _xlfn.ACOT( SIN(L$513)  /  TAN($A528)    ))  *  SIGN( SIN($A528))))</f>
        <v>64.3410937267447</v>
      </c>
      <c r="M528" s="249" t="n">
        <f aca="false">DEGREES( _xlfn.ACOT( _xlfn.COT(M$513)  *  COS(  _xlfn.ACOT( SIN(M$513)  /  TAN($A528)    ))  *  SIGN( SIN($A528))))</f>
        <v>52.238756092965</v>
      </c>
      <c r="N528" s="249" t="n">
        <f aca="false">DEGREES( _xlfn.ACOT( _xlfn.COT(N$513)  *  COS(  _xlfn.ACOT( SIN(N$513)  /  TAN($A528)    ))  *  SIGN( SIN($A528))))</f>
        <v>41.4096221092709</v>
      </c>
      <c r="O528" s="249" t="n">
        <f aca="false">DEGREES( _xlfn.ACOT( _xlfn.COT(O$513)  *  COS(  _xlfn.ACOT( SIN(O$513)  /  TAN($A528)    ))  *  SIGN( SIN($A528))))</f>
        <v>33.2259422032876</v>
      </c>
      <c r="P528" s="264" t="n">
        <f aca="false">DEGREES( _xlfn.ACOT( _xlfn.COT(P$513)  *  COS(  _xlfn.ACOT( SIN(P$513)  /  TAN($A528)    ))  *  SIGN( SIN($A528))))</f>
        <v>23.3795196047664</v>
      </c>
      <c r="Q528" s="249" t="n">
        <f aca="false">DEGREES( _xlfn.ACOT( _xlfn.COT(Q$513)  *  COS(  _xlfn.ACOT( SIN(Q$513)  /  TAN($A528)    ))  *  SIGN( SIN($A528))))</f>
        <v>33.2259422032876</v>
      </c>
      <c r="R528" s="249" t="n">
        <f aca="false">DEGREES( _xlfn.ACOT( _xlfn.COT(R$513)  *  COS(  _xlfn.ACOT( SIN(R$513)  /  TAN($A528)    ))  *  SIGN( SIN($A528))))</f>
        <v>41.4096221092709</v>
      </c>
      <c r="S528" s="249" t="n">
        <f aca="false">DEGREES( _xlfn.ACOT( _xlfn.COT(S$513)  *  COS(  _xlfn.ACOT( SIN(S$513)  /  TAN($A528)    ))  *  SIGN( SIN($A528))))</f>
        <v>52.238756092965</v>
      </c>
      <c r="T528" s="249" t="n">
        <f aca="false">DEGREES( _xlfn.ACOT( _xlfn.COT(T$513)  *  COS(  _xlfn.ACOT( SIN(T$513)  /  TAN($A528)    ))  *  SIGN( SIN($A528))))</f>
        <v>64.3410937267447</v>
      </c>
      <c r="U528" s="249" t="n">
        <f aca="false">DEGREES( _xlfn.ACOT( _xlfn.COT(U$513)  *  COS(  _xlfn.ACOT( SIN(U$513)  /  TAN($A528)    ))  *  SIGN( SIN($A528))))</f>
        <v>77.0474603577776</v>
      </c>
      <c r="V528" s="264" t="n">
        <f aca="false">DEGREES( _xlfn.ACOT( _xlfn.COT(V$513)  *  COS(  _xlfn.ACOT( SIN(V$513)  /  TAN($A528)    ))  *  SIGN( SIN($A528))))</f>
        <v>90</v>
      </c>
      <c r="W528" s="249" t="n">
        <f aca="false">DEGREES( _xlfn.ACOT( _xlfn.COT(W$513)  *  COS(  _xlfn.ACOT( SIN(W$513)  /  TAN($A528)    ))  *  SIGN( SIN($A528))))</f>
        <v>102.952539642222</v>
      </c>
      <c r="X528" s="249" t="n">
        <f aca="false">DEGREES( _xlfn.ACOT( _xlfn.COT(X$513)  *  COS(  _xlfn.ACOT( SIN(X$513)  /  TAN($A528)    ))  *  SIGN( SIN($A528))))</f>
        <v>115.658906273255</v>
      </c>
      <c r="Y528" s="249" t="n">
        <f aca="false">DEGREES( _xlfn.ACOT( _xlfn.COT(Y$513)  *  COS(  _xlfn.ACOT( SIN(Y$513)  /  TAN($A528)    ))  *  SIGN( SIN($A528))))</f>
        <v>127.761243907035</v>
      </c>
      <c r="Z528" s="249" t="n">
        <f aca="false">DEGREES( _xlfn.ACOT( _xlfn.COT(Z$513)  *  COS(  _xlfn.ACOT( SIN(Z$513)  /  TAN($A528)    ))  *  SIGN( SIN($A528))))</f>
        <v>138.590377890729</v>
      </c>
      <c r="AA528" s="249" t="n">
        <f aca="false">DEGREES( _xlfn.ACOT( _xlfn.COT(AA$513)  *  COS(  _xlfn.ACOT( SIN(AA$513)  /  TAN($A528)    ))  *  SIGN( SIN($A528))))</f>
        <v>146.774057796712</v>
      </c>
      <c r="AB528" s="264" t="n">
        <f aca="false">DEGREES( _xlfn.ACOT( _xlfn.COT(AB$513)  *  COS(  _xlfn.ACOT( SIN(AB$513)  /  TAN($A528)    ))  *  SIGN( SIN($A528))))</f>
        <v>149.999998488489</v>
      </c>
      <c r="AC528" s="195" t="e">
        <f aca="false">DEGREES( _xlfn.ACOT( _xlfn.COT(AC$513)  *  COS(  _xlfn.ACOT( SIN(AC$513)  /  TAN($A528)    ))  *  SIGN( SIN($A528))))</f>
        <v>#NUM!</v>
      </c>
      <c r="AD528" s="195" t="e">
        <f aca="false">DEGREES( _xlfn.ACOT( _xlfn.COT(AD$513)  *  COS(  _xlfn.ACOT( SIN(AD$513)  /  TAN($A528)    ))  *  SIGN( SIN($A528))))</f>
        <v>#NUM!</v>
      </c>
      <c r="AE528" s="1"/>
      <c r="AF528" s="1"/>
      <c r="AG528" s="1"/>
      <c r="AH528" s="1"/>
      <c r="AI528" s="1"/>
      <c r="AJ528" s="1"/>
      <c r="AK528" s="1"/>
      <c r="AL528" s="1"/>
    </row>
    <row r="529" customFormat="false" ht="12.75" hidden="false" customHeight="true" outlineLevel="0" collapsed="false">
      <c r="A529" s="193" t="n">
        <f aca="false">RADIANS(MOD(B529-180,-360)+180)</f>
        <v>-2.35619449019234</v>
      </c>
      <c r="B529" s="182" t="n">
        <v>225</v>
      </c>
      <c r="C529" s="1"/>
      <c r="D529" s="264" t="n">
        <f aca="false">DEGREES( _xlfn.ACOT( _xlfn.COT(D$513)  *  COS(  _xlfn.ACOT( SIN(D$513)  /  TAN($A529)    ))  *  SIGN( SIN($A529))))</f>
        <v>134.999999991517</v>
      </c>
      <c r="E529" s="249" t="n">
        <f aca="false">DEGREES( _xlfn.ACOT( _xlfn.COT(E$513)  *  COS(  _xlfn.ACOT( SIN(E$513)  /  TAN($A529)    ))  *  SIGN( SIN($A529))))</f>
        <v>133.079517141871</v>
      </c>
      <c r="F529" s="249" t="n">
        <f aca="false">DEGREES( _xlfn.ACOT( _xlfn.COT(F$513)  *  COS(  _xlfn.ACOT( SIN(F$513)  /  TAN($A529)    ))  *  SIGN( SIN($A529))))</f>
        <v>127.761243907035</v>
      </c>
      <c r="G529" s="249" t="n">
        <f aca="false">DEGREES( _xlfn.ACOT( _xlfn.COT(G$513)  *  COS(  _xlfn.ACOT( SIN(G$513)  /  TAN($A529)    ))  *  SIGN( SIN($A529))))</f>
        <v>120</v>
      </c>
      <c r="H529" s="249" t="n">
        <f aca="false">DEGREES( _xlfn.ACOT( _xlfn.COT(H$513)  *  COS(  _xlfn.ACOT( SIN(H$513)  /  TAN($A529)    ))  *  SIGN( SIN($A529))))</f>
        <v>110.704811054635</v>
      </c>
      <c r="I529" s="249" t="n">
        <f aca="false">DEGREES( _xlfn.ACOT( _xlfn.COT(I$513)  *  COS(  _xlfn.ACOT( SIN(I$513)  /  TAN($A529)    ))  *  SIGN( SIN($A529))))</f>
        <v>100.5452905895</v>
      </c>
      <c r="J529" s="264" t="n">
        <f aca="false">DEGREES( _xlfn.ACOT( _xlfn.COT(J$513)  *  COS(  _xlfn.ACOT( SIN(J$513)  /  TAN($A529)    ))  *  SIGN( SIN($A529))))</f>
        <v>90</v>
      </c>
      <c r="K529" s="249" t="n">
        <f aca="false">DEGREES( _xlfn.ACOT( _xlfn.COT(K$513)  *  COS(  _xlfn.ACOT( SIN(K$513)  /  TAN($A529)    ))  *  SIGN( SIN($A529))))</f>
        <v>79.4547094105004</v>
      </c>
      <c r="L529" s="249" t="n">
        <f aca="false">DEGREES( _xlfn.ACOT( _xlfn.COT(L$513)  *  COS(  _xlfn.ACOT( SIN(L$513)  /  TAN($A529)    ))  *  SIGN( SIN($A529))))</f>
        <v>69.2951889453646</v>
      </c>
      <c r="M529" s="249" t="n">
        <f aca="false">DEGREES( _xlfn.ACOT( _xlfn.COT(M$513)  *  COS(  _xlfn.ACOT( SIN(M$513)  /  TAN($A529)    ))  *  SIGN( SIN($A529))))</f>
        <v>60</v>
      </c>
      <c r="N529" s="249" t="n">
        <f aca="false">DEGREES( _xlfn.ACOT( _xlfn.COT(N$513)  *  COS(  _xlfn.ACOT( SIN(N$513)  /  TAN($A529)    ))  *  SIGN( SIN($A529))))</f>
        <v>52.238756092965</v>
      </c>
      <c r="O529" s="249" t="n">
        <f aca="false">DEGREES( _xlfn.ACOT( _xlfn.COT(O$513)  *  COS(  _xlfn.ACOT( SIN(O$513)  /  TAN($A529)    ))  *  SIGN( SIN($A529))))</f>
        <v>46.9204828581291</v>
      </c>
      <c r="P529" s="264" t="n">
        <f aca="false">DEGREES( _xlfn.ACOT( _xlfn.COT(P$513)  *  COS(  _xlfn.ACOT( SIN(P$513)  /  TAN($A529)    ))  *  SIGN( SIN($A529))))</f>
        <v>23.3795196047664</v>
      </c>
      <c r="Q529" s="249" t="n">
        <f aca="false">DEGREES( _xlfn.ACOT( _xlfn.COT(Q$513)  *  COS(  _xlfn.ACOT( SIN(Q$513)  /  TAN($A529)    ))  *  SIGN( SIN($A529))))</f>
        <v>46.9204828581291</v>
      </c>
      <c r="R529" s="249" t="n">
        <f aca="false">DEGREES( _xlfn.ACOT( _xlfn.COT(R$513)  *  COS(  _xlfn.ACOT( SIN(R$513)  /  TAN($A529)    ))  *  SIGN( SIN($A529))))</f>
        <v>52.238756092965</v>
      </c>
      <c r="S529" s="249" t="n">
        <f aca="false">DEGREES( _xlfn.ACOT( _xlfn.COT(S$513)  *  COS(  _xlfn.ACOT( SIN(S$513)  /  TAN($A529)    ))  *  SIGN( SIN($A529))))</f>
        <v>60</v>
      </c>
      <c r="T529" s="249" t="n">
        <f aca="false">DEGREES( _xlfn.ACOT( _xlfn.COT(T$513)  *  COS(  _xlfn.ACOT( SIN(T$513)  /  TAN($A529)    ))  *  SIGN( SIN($A529))))</f>
        <v>69.2951889453646</v>
      </c>
      <c r="U529" s="249" t="n">
        <f aca="false">DEGREES( _xlfn.ACOT( _xlfn.COT(U$513)  *  COS(  _xlfn.ACOT( SIN(U$513)  /  TAN($A529)    ))  *  SIGN( SIN($A529))))</f>
        <v>79.4547094105004</v>
      </c>
      <c r="V529" s="264" t="n">
        <f aca="false">DEGREES( _xlfn.ACOT( _xlfn.COT(V$513)  *  COS(  _xlfn.ACOT( SIN(V$513)  /  TAN($A529)    ))  *  SIGN( SIN($A529))))</f>
        <v>90</v>
      </c>
      <c r="W529" s="249" t="n">
        <f aca="false">DEGREES( _xlfn.ACOT( _xlfn.COT(W$513)  *  COS(  _xlfn.ACOT( SIN(W$513)  /  TAN($A529)    ))  *  SIGN( SIN($A529))))</f>
        <v>100.5452905895</v>
      </c>
      <c r="X529" s="249" t="n">
        <f aca="false">DEGREES( _xlfn.ACOT( _xlfn.COT(X$513)  *  COS(  _xlfn.ACOT( SIN(X$513)  /  TAN($A529)    ))  *  SIGN( SIN($A529))))</f>
        <v>110.704811054635</v>
      </c>
      <c r="Y529" s="249" t="n">
        <f aca="false">DEGREES( _xlfn.ACOT( _xlfn.COT(Y$513)  *  COS(  _xlfn.ACOT( SIN(Y$513)  /  TAN($A529)    ))  *  SIGN( SIN($A529))))</f>
        <v>120</v>
      </c>
      <c r="Z529" s="249" t="n">
        <f aca="false">DEGREES( _xlfn.ACOT( _xlfn.COT(Z$513)  *  COS(  _xlfn.ACOT( SIN(Z$513)  /  TAN($A529)    ))  *  SIGN( SIN($A529))))</f>
        <v>127.761243907035</v>
      </c>
      <c r="AA529" s="249" t="n">
        <f aca="false">DEGREES( _xlfn.ACOT( _xlfn.COT(AA$513)  *  COS(  _xlfn.ACOT( SIN(AA$513)  /  TAN($A529)    ))  *  SIGN( SIN($A529))))</f>
        <v>133.079517141871</v>
      </c>
      <c r="AB529" s="264" t="n">
        <f aca="false">DEGREES( _xlfn.ACOT( _xlfn.COT(AB$513)  *  COS(  _xlfn.ACOT( SIN(AB$513)  /  TAN($A529)    ))  *  SIGN( SIN($A529))))</f>
        <v>134.999999127308</v>
      </c>
      <c r="AC529" s="195" t="e">
        <f aca="false">DEGREES( _xlfn.ACOT( _xlfn.COT(AC$513)  *  COS(  _xlfn.ACOT( SIN(AC$513)  /  TAN($A529)    ))  *  SIGN( SIN($A529))))</f>
        <v>#NUM!</v>
      </c>
      <c r="AD529" s="195" t="e">
        <f aca="false">DEGREES( _xlfn.ACOT( _xlfn.COT(AD$513)  *  COS(  _xlfn.ACOT( SIN(AD$513)  /  TAN($A529)    ))  *  SIGN( SIN($A529))))</f>
        <v>#NUM!</v>
      </c>
      <c r="AE529" s="1"/>
      <c r="AF529" s="1"/>
      <c r="AG529" s="1"/>
      <c r="AH529" s="1"/>
      <c r="AI529" s="1"/>
      <c r="AJ529" s="1"/>
      <c r="AK529" s="1"/>
      <c r="AL529" s="1"/>
    </row>
    <row r="530" customFormat="false" ht="12.75" hidden="false" customHeight="true" outlineLevel="0" collapsed="false">
      <c r="A530" s="193" t="n">
        <f aca="false">RADIANS(MOD(B530-180,-360)+180)</f>
        <v>-2.0943951023932</v>
      </c>
      <c r="B530" s="182" t="n">
        <v>240</v>
      </c>
      <c r="C530" s="1"/>
      <c r="D530" s="264" t="n">
        <f aca="false">DEGREES( _xlfn.ACOT( _xlfn.COT(D$513)  *  COS(  _xlfn.ACOT( SIN(D$513)  /  TAN($A530)    ))  *  SIGN( SIN($A530))))</f>
        <v>119.999999995301</v>
      </c>
      <c r="E530" s="249" t="n">
        <f aca="false">DEGREES( _xlfn.ACOT( _xlfn.COT(E$513)  *  COS(  _xlfn.ACOT( SIN(E$513)  /  TAN($A530)    ))  *  SIGN( SIN($A530))))</f>
        <v>118.879094017428</v>
      </c>
      <c r="F530" s="249" t="n">
        <f aca="false">DEGREES( _xlfn.ACOT( _xlfn.COT(F$513)  *  COS(  _xlfn.ACOT( SIN(F$513)  /  TAN($A530)    ))  *  SIGN( SIN($A530))))</f>
        <v>115.658906273255</v>
      </c>
      <c r="G530" s="249" t="n">
        <f aca="false">DEGREES( _xlfn.ACOT( _xlfn.COT(G$513)  *  COS(  _xlfn.ACOT( SIN(G$513)  /  TAN($A530)    ))  *  SIGN( SIN($A530))))</f>
        <v>110.704811054635</v>
      </c>
      <c r="H530" s="249" t="n">
        <f aca="false">DEGREES( _xlfn.ACOT( _xlfn.COT(H$513)  *  COS(  _xlfn.ACOT( SIN(H$513)  /  TAN($A530)    ))  *  SIGN( SIN($A530))))</f>
        <v>104.47751218593</v>
      </c>
      <c r="I530" s="249" t="n">
        <f aca="false">DEGREES( _xlfn.ACOT( _xlfn.COT(I$513)  *  COS(  _xlfn.ACOT( SIN(I$513)  /  TAN($A530)    ))  *  SIGN( SIN($A530))))</f>
        <v>97.4354722261318</v>
      </c>
      <c r="J530" s="264" t="n">
        <f aca="false">DEGREES( _xlfn.ACOT( _xlfn.COT(J$513)  *  COS(  _xlfn.ACOT( SIN(J$513)  /  TAN($A530)    ))  *  SIGN( SIN($A530))))</f>
        <v>90</v>
      </c>
      <c r="K530" s="249" t="n">
        <f aca="false">DEGREES( _xlfn.ACOT( _xlfn.COT(K$513)  *  COS(  _xlfn.ACOT( SIN(K$513)  /  TAN($A530)    ))  *  SIGN( SIN($A530))))</f>
        <v>82.5645277738682</v>
      </c>
      <c r="L530" s="249" t="n">
        <f aca="false">DEGREES( _xlfn.ACOT( _xlfn.COT(L$513)  *  COS(  _xlfn.ACOT( SIN(L$513)  /  TAN($A530)    ))  *  SIGN( SIN($A530))))</f>
        <v>75.5224878140701</v>
      </c>
      <c r="M530" s="249" t="n">
        <f aca="false">DEGREES( _xlfn.ACOT( _xlfn.COT(M$513)  *  COS(  _xlfn.ACOT( SIN(M$513)  /  TAN($A530)    ))  *  SIGN( SIN($A530))))</f>
        <v>69.2951889453646</v>
      </c>
      <c r="N530" s="249" t="n">
        <f aca="false">DEGREES( _xlfn.ACOT( _xlfn.COT(N$513)  *  COS(  _xlfn.ACOT( SIN(N$513)  /  TAN($A530)    ))  *  SIGN( SIN($A530))))</f>
        <v>64.3410937267447</v>
      </c>
      <c r="O530" s="249" t="n">
        <f aca="false">DEGREES( _xlfn.ACOT( _xlfn.COT(O$513)  *  COS(  _xlfn.ACOT( SIN(O$513)  /  TAN($A530)    ))  *  SIGN( SIN($A530))))</f>
        <v>61.1209059825724</v>
      </c>
      <c r="P530" s="264" t="n">
        <f aca="false">DEGREES( _xlfn.ACOT( _xlfn.COT(P$513)  *  COS(  _xlfn.ACOT( SIN(P$513)  /  TAN($A530)    ))  *  SIGN( SIN($A530))))</f>
        <v>63.434948822922</v>
      </c>
      <c r="Q530" s="249" t="n">
        <f aca="false">DEGREES( _xlfn.ACOT( _xlfn.COT(Q$513)  *  COS(  _xlfn.ACOT( SIN(Q$513)  /  TAN($A530)    ))  *  SIGN( SIN($A530))))</f>
        <v>61.1209059825724</v>
      </c>
      <c r="R530" s="249" t="n">
        <f aca="false">DEGREES( _xlfn.ACOT( _xlfn.COT(R$513)  *  COS(  _xlfn.ACOT( SIN(R$513)  /  TAN($A530)    ))  *  SIGN( SIN($A530))))</f>
        <v>64.3410937267448</v>
      </c>
      <c r="S530" s="249" t="n">
        <f aca="false">DEGREES( _xlfn.ACOT( _xlfn.COT(S$513)  *  COS(  _xlfn.ACOT( SIN(S$513)  /  TAN($A530)    ))  *  SIGN( SIN($A530))))</f>
        <v>69.2951889453646</v>
      </c>
      <c r="T530" s="249" t="n">
        <f aca="false">DEGREES( _xlfn.ACOT( _xlfn.COT(T$513)  *  COS(  _xlfn.ACOT( SIN(T$513)  /  TAN($A530)    ))  *  SIGN( SIN($A530))))</f>
        <v>75.5224878140701</v>
      </c>
      <c r="U530" s="249" t="n">
        <f aca="false">DEGREES( _xlfn.ACOT( _xlfn.COT(U$513)  *  COS(  _xlfn.ACOT( SIN(U$513)  /  TAN($A530)    ))  *  SIGN( SIN($A530))))</f>
        <v>82.5645277738682</v>
      </c>
      <c r="V530" s="264" t="n">
        <f aca="false">DEGREES( _xlfn.ACOT( _xlfn.COT(V$513)  *  COS(  _xlfn.ACOT( SIN(V$513)  /  TAN($A530)    ))  *  SIGN( SIN($A530))))</f>
        <v>90</v>
      </c>
      <c r="W530" s="249" t="n">
        <f aca="false">DEGREES( _xlfn.ACOT( _xlfn.COT(W$513)  *  COS(  _xlfn.ACOT( SIN(W$513)  /  TAN($A530)    ))  *  SIGN( SIN($A530))))</f>
        <v>97.4354722261318</v>
      </c>
      <c r="X530" s="249" t="n">
        <f aca="false">DEGREES( _xlfn.ACOT( _xlfn.COT(X$513)  *  COS(  _xlfn.ACOT( SIN(X$513)  /  TAN($A530)    ))  *  SIGN( SIN($A530))))</f>
        <v>104.47751218593</v>
      </c>
      <c r="Y530" s="249" t="n">
        <f aca="false">DEGREES( _xlfn.ACOT( _xlfn.COT(Y$513)  *  COS(  _xlfn.ACOT( SIN(Y$513)  /  TAN($A530)    ))  *  SIGN( SIN($A530))))</f>
        <v>110.704811054635</v>
      </c>
      <c r="Z530" s="249" t="n">
        <f aca="false">DEGREES( _xlfn.ACOT( _xlfn.COT(Z$513)  *  COS(  _xlfn.ACOT( SIN(Z$513)  /  TAN($A530)    ))  *  SIGN( SIN($A530))))</f>
        <v>115.658906273255</v>
      </c>
      <c r="AA530" s="249" t="n">
        <f aca="false">DEGREES( _xlfn.ACOT( _xlfn.COT(AA$513)  *  COS(  _xlfn.ACOT( SIN(AA$513)  /  TAN($A530)    ))  *  SIGN( SIN($A530))))</f>
        <v>118.879094017428</v>
      </c>
      <c r="AB530" s="264" t="n">
        <f aca="false">DEGREES( _xlfn.ACOT( _xlfn.COT(AB$513)  *  COS(  _xlfn.ACOT( SIN(AB$513)  /  TAN($A530)    ))  *  SIGN( SIN($A530))))</f>
        <v>119.99999949613</v>
      </c>
      <c r="AC530" s="195" t="e">
        <f aca="false">DEGREES( _xlfn.ACOT( _xlfn.COT(AC$513)  *  COS(  _xlfn.ACOT( SIN(AC$513)  /  TAN($A530)    ))  *  SIGN( SIN($A530))))</f>
        <v>#NUM!</v>
      </c>
      <c r="AD530" s="195" t="e">
        <f aca="false">DEGREES( _xlfn.ACOT( _xlfn.COT(AD$513)  *  COS(  _xlfn.ACOT( SIN(AD$513)  /  TAN($A530)    ))  *  SIGN( SIN($A530))))</f>
        <v>#NUM!</v>
      </c>
      <c r="AE530" s="1"/>
      <c r="AF530" s="1"/>
      <c r="AG530" s="1"/>
      <c r="AH530" s="1"/>
      <c r="AI530" s="1"/>
      <c r="AJ530" s="1"/>
      <c r="AK530" s="1"/>
      <c r="AL530" s="1"/>
    </row>
    <row r="531" customFormat="false" ht="12.75" hidden="false" customHeight="true" outlineLevel="0" collapsed="false">
      <c r="A531" s="193" t="n">
        <f aca="false">RADIANS(MOD(B531-180,-360)+180)</f>
        <v>-1.83259571459405</v>
      </c>
      <c r="B531" s="182" t="n">
        <v>255</v>
      </c>
      <c r="C531" s="1"/>
      <c r="D531" s="264" t="n">
        <f aca="false">DEGREES( _xlfn.ACOT( _xlfn.COT(D$513)  *  COS(  _xlfn.ACOT( SIN(D$513)  /  TAN($A531)    ))  *  SIGN( SIN($A531))))</f>
        <v>104.999999997541</v>
      </c>
      <c r="E531" s="249" t="n">
        <f aca="false">DEGREES( _xlfn.ACOT( _xlfn.COT(E$513)  *  COS(  _xlfn.ACOT( SIN(E$513)  /  TAN($A531)    ))  *  SIGN( SIN($A531))))</f>
        <v>104.47751218593</v>
      </c>
      <c r="F531" s="249" t="n">
        <f aca="false">DEGREES( _xlfn.ACOT( _xlfn.COT(F$513)  *  COS(  _xlfn.ACOT( SIN(F$513)  /  TAN($A531)    ))  *  SIGN( SIN($A531))))</f>
        <v>102.952539642222</v>
      </c>
      <c r="G531" s="249" t="n">
        <f aca="false">DEGREES( _xlfn.ACOT( _xlfn.COT(G$513)  *  COS(  _xlfn.ACOT( SIN(G$513)  /  TAN($A531)    ))  *  SIGN( SIN($A531))))</f>
        <v>100.5452905895</v>
      </c>
      <c r="H531" s="249" t="n">
        <f aca="false">DEGREES( _xlfn.ACOT( _xlfn.COT(H$513)  *  COS(  _xlfn.ACOT( SIN(H$513)  /  TAN($A531)    ))  *  SIGN( SIN($A531))))</f>
        <v>97.4354722261319</v>
      </c>
      <c r="I531" s="249" t="n">
        <f aca="false">DEGREES( _xlfn.ACOT( _xlfn.COT(I$513)  *  COS(  _xlfn.ACOT( SIN(I$513)  /  TAN($A531)    ))  *  SIGN( SIN($A531))))</f>
        <v>93.8409657162582</v>
      </c>
      <c r="J531" s="264" t="n">
        <f aca="false">DEGREES( _xlfn.ACOT( _xlfn.COT(J$513)  *  COS(  _xlfn.ACOT( SIN(J$513)  /  TAN($A531)    ))  *  SIGN( SIN($A531))))</f>
        <v>90</v>
      </c>
      <c r="K531" s="249" t="n">
        <f aca="false">DEGREES( _xlfn.ACOT( _xlfn.COT(K$513)  *  COS(  _xlfn.ACOT( SIN(K$513)  /  TAN($A531)    ))  *  SIGN( SIN($A531))))</f>
        <v>86.1590342837419</v>
      </c>
      <c r="L531" s="249" t="n">
        <f aca="false">DEGREES( _xlfn.ACOT( _xlfn.COT(L$513)  *  COS(  _xlfn.ACOT( SIN(L$513)  /  TAN($A531)    ))  *  SIGN( SIN($A531))))</f>
        <v>82.5645277738682</v>
      </c>
      <c r="M531" s="249" t="n">
        <f aca="false">DEGREES( _xlfn.ACOT( _xlfn.COT(M$513)  *  COS(  _xlfn.ACOT( SIN(M$513)  /  TAN($A531)    ))  *  SIGN( SIN($A531))))</f>
        <v>79.4547094105004</v>
      </c>
      <c r="N531" s="249" t="n">
        <f aca="false">DEGREES( _xlfn.ACOT( _xlfn.COT(N$513)  *  COS(  _xlfn.ACOT( SIN(N$513)  /  TAN($A531)    ))  *  SIGN( SIN($A531))))</f>
        <v>77.0474603577776</v>
      </c>
      <c r="O531" s="249" t="n">
        <f aca="false">DEGREES( _xlfn.ACOT( _xlfn.COT(O$513)  *  COS(  _xlfn.ACOT( SIN(O$513)  /  TAN($A531)    ))  *  SIGN( SIN($A531))))</f>
        <v>75.52248781407</v>
      </c>
      <c r="P531" s="264" t="n">
        <f aca="false">DEGREES( _xlfn.ACOT( _xlfn.COT(P$513)  *  COS(  _xlfn.ACOT( SIN(P$513)  /  TAN($A531)    ))  *  SIGN( SIN($A531))))</f>
        <v>63.434948822922</v>
      </c>
      <c r="Q531" s="249" t="n">
        <f aca="false">DEGREES( _xlfn.ACOT( _xlfn.COT(Q$513)  *  COS(  _xlfn.ACOT( SIN(Q$513)  /  TAN($A531)    ))  *  SIGN( SIN($A531))))</f>
        <v>75.5224878140701</v>
      </c>
      <c r="R531" s="249" t="n">
        <f aca="false">DEGREES( _xlfn.ACOT( _xlfn.COT(R$513)  *  COS(  _xlfn.ACOT( SIN(R$513)  /  TAN($A531)    ))  *  SIGN( SIN($A531))))</f>
        <v>77.0474603577776</v>
      </c>
      <c r="S531" s="249" t="n">
        <f aca="false">DEGREES( _xlfn.ACOT( _xlfn.COT(S$513)  *  COS(  _xlfn.ACOT( SIN(S$513)  /  TAN($A531)    ))  *  SIGN( SIN($A531))))</f>
        <v>79.4547094105005</v>
      </c>
      <c r="T531" s="249" t="n">
        <f aca="false">DEGREES( _xlfn.ACOT( _xlfn.COT(T$513)  *  COS(  _xlfn.ACOT( SIN(T$513)  /  TAN($A531)    ))  *  SIGN( SIN($A531))))</f>
        <v>82.5645277738682</v>
      </c>
      <c r="U531" s="249" t="n">
        <f aca="false">DEGREES( _xlfn.ACOT( _xlfn.COT(U$513)  *  COS(  _xlfn.ACOT( SIN(U$513)  /  TAN($A531)    ))  *  SIGN( SIN($A531))))</f>
        <v>86.1590342837419</v>
      </c>
      <c r="V531" s="264" t="n">
        <f aca="false">DEGREES( _xlfn.ACOT( _xlfn.COT(V$513)  *  COS(  _xlfn.ACOT( SIN(V$513)  /  TAN($A531)    ))  *  SIGN( SIN($A531))))</f>
        <v>90</v>
      </c>
      <c r="W531" s="249" t="n">
        <f aca="false">DEGREES( _xlfn.ACOT( _xlfn.COT(W$513)  *  COS(  _xlfn.ACOT( SIN(W$513)  /  TAN($A531)    ))  *  SIGN( SIN($A531))))</f>
        <v>93.8409657162582</v>
      </c>
      <c r="X531" s="249" t="n">
        <f aca="false">DEGREES( _xlfn.ACOT( _xlfn.COT(X$513)  *  COS(  _xlfn.ACOT( SIN(X$513)  /  TAN($A531)    ))  *  SIGN( SIN($A531))))</f>
        <v>97.4354722261319</v>
      </c>
      <c r="Y531" s="249" t="n">
        <f aca="false">DEGREES( _xlfn.ACOT( _xlfn.COT(Y$513)  *  COS(  _xlfn.ACOT( SIN(Y$513)  /  TAN($A531)    ))  *  SIGN( SIN($A531))))</f>
        <v>100.5452905895</v>
      </c>
      <c r="Z531" s="249" t="n">
        <f aca="false">DEGREES( _xlfn.ACOT( _xlfn.COT(Z$513)  *  COS(  _xlfn.ACOT( SIN(Z$513)  /  TAN($A531)    ))  *  SIGN( SIN($A531))))</f>
        <v>102.952539642222</v>
      </c>
      <c r="AA531" s="249" t="n">
        <f aca="false">DEGREES( _xlfn.ACOT( _xlfn.COT(AA$513)  *  COS(  _xlfn.ACOT( SIN(AA$513)  /  TAN($A531)    ))  *  SIGN( SIN($A531))))</f>
        <v>104.47751218593</v>
      </c>
      <c r="AB531" s="264" t="n">
        <f aca="false">DEGREES( _xlfn.ACOT( _xlfn.COT(AB$513)  *  COS(  _xlfn.ACOT( SIN(AB$513)  /  TAN($A531)    ))  *  SIGN( SIN($A531))))</f>
        <v>104.999999766169</v>
      </c>
      <c r="AC531" s="195" t="e">
        <f aca="false">DEGREES( _xlfn.ACOT( _xlfn.COT(AC$513)  *  COS(  _xlfn.ACOT( SIN(AC$513)  /  TAN($A531)    ))  *  SIGN( SIN($A531))))</f>
        <v>#NUM!</v>
      </c>
      <c r="AD531" s="195" t="e">
        <f aca="false">DEGREES( _xlfn.ACOT( _xlfn.COT(AD$513)  *  COS(  _xlfn.ACOT( SIN(AD$513)  /  TAN($A531)    ))  *  SIGN( SIN($A531))))</f>
        <v>#NUM!</v>
      </c>
      <c r="AE531" s="1"/>
      <c r="AF531" s="1"/>
      <c r="AG531" s="1"/>
      <c r="AH531" s="1"/>
      <c r="AI531" s="1"/>
      <c r="AJ531" s="1"/>
      <c r="AK531" s="1"/>
      <c r="AL531" s="1"/>
    </row>
    <row r="532" customFormat="false" ht="12.75" hidden="false" customHeight="true" outlineLevel="0" collapsed="false">
      <c r="A532" s="193" t="n">
        <f aca="false">RADIANS(MOD(B532-180,-360)+180)</f>
        <v>-1.5707963267949</v>
      </c>
      <c r="B532" s="182" t="n">
        <v>270</v>
      </c>
      <c r="C532" s="1"/>
      <c r="D532" s="264" t="n">
        <f aca="false">DEGREES( _xlfn.ACOT( _xlfn.COT(D$513)  *  COS(  _xlfn.ACOT( SIN(D$513)  /  TAN($A532)    ))  *  SIGN( SIN($A532))))</f>
        <v>90.000000000201</v>
      </c>
      <c r="E532" s="264" t="n">
        <f aca="false">DEGREES( _xlfn.ACOT( _xlfn.COT(E$513)  *  COS(  _xlfn.ACOT( SIN(E$513)  /  TAN($A532)    ))  *  SIGN( SIN($A532))))</f>
        <v>90</v>
      </c>
      <c r="F532" s="264" t="n">
        <f aca="false">DEGREES( _xlfn.ACOT( _xlfn.COT(F$513)  *  COS(  _xlfn.ACOT( SIN(F$513)  /  TAN($A532)    ))  *  SIGN( SIN($A532))))</f>
        <v>90</v>
      </c>
      <c r="G532" s="264" t="n">
        <f aca="false">DEGREES( _xlfn.ACOT( _xlfn.COT(G$513)  *  COS(  _xlfn.ACOT( SIN(G$513)  /  TAN($A532)    ))  *  SIGN( SIN($A532))))</f>
        <v>90</v>
      </c>
      <c r="H532" s="264" t="n">
        <f aca="false">DEGREES( _xlfn.ACOT( _xlfn.COT(H$513)  *  COS(  _xlfn.ACOT( SIN(H$513)  /  TAN($A532)    ))  *  SIGN( SIN($A532))))</f>
        <v>90</v>
      </c>
      <c r="I532" s="264" t="n">
        <f aca="false">DEGREES( _xlfn.ACOT( _xlfn.COT(I$513)  *  COS(  _xlfn.ACOT( SIN(I$513)  /  TAN($A532)    ))  *  SIGN( SIN($A532))))</f>
        <v>90</v>
      </c>
      <c r="J532" s="264" t="n">
        <f aca="false">DEGREES( _xlfn.ACOT( _xlfn.COT(J$513)  *  COS(  _xlfn.ACOT( SIN(J$513)  /  TAN($A532)    ))  *  SIGN( SIN($A532))))</f>
        <v>90</v>
      </c>
      <c r="K532" s="264" t="n">
        <f aca="false">DEGREES( _xlfn.ACOT( _xlfn.COT(K$513)  *  COS(  _xlfn.ACOT( SIN(K$513)  /  TAN($A532)    ))  *  SIGN( SIN($A532))))</f>
        <v>90</v>
      </c>
      <c r="L532" s="264" t="n">
        <f aca="false">DEGREES( _xlfn.ACOT( _xlfn.COT(L$513)  *  COS(  _xlfn.ACOT( SIN(L$513)  /  TAN($A532)    ))  *  SIGN( SIN($A532))))</f>
        <v>90</v>
      </c>
      <c r="M532" s="264" t="n">
        <f aca="false">DEGREES( _xlfn.ACOT( _xlfn.COT(M$513)  *  COS(  _xlfn.ACOT( SIN(M$513)  /  TAN($A532)    ))  *  SIGN( SIN($A532))))</f>
        <v>90</v>
      </c>
      <c r="N532" s="264" t="n">
        <f aca="false">DEGREES( _xlfn.ACOT( _xlfn.COT(N$513)  *  COS(  _xlfn.ACOT( SIN(N$513)  /  TAN($A532)    ))  *  SIGN( SIN($A532))))</f>
        <v>90</v>
      </c>
      <c r="O532" s="264" t="n">
        <f aca="false">DEGREES( _xlfn.ACOT( _xlfn.COT(O$513)  *  COS(  _xlfn.ACOT( SIN(O$513)  /  TAN($A532)    ))  *  SIGN( SIN($A532))))</f>
        <v>90</v>
      </c>
      <c r="P532" s="264" t="n">
        <f aca="false">DEGREES( _xlfn.ACOT( _xlfn.COT(P$513)  *  COS(  _xlfn.ACOT( SIN(P$513)  /  TAN($A532)    ))  *  SIGN( SIN($A532))))</f>
        <v>63.434948822922</v>
      </c>
      <c r="Q532" s="264" t="n">
        <f aca="false">DEGREES( _xlfn.ACOT( _xlfn.COT(Q$513)  *  COS(  _xlfn.ACOT( SIN(Q$513)  /  TAN($A532)    ))  *  SIGN( SIN($A532))))</f>
        <v>90</v>
      </c>
      <c r="R532" s="264" t="n">
        <f aca="false">DEGREES( _xlfn.ACOT( _xlfn.COT(R$513)  *  COS(  _xlfn.ACOT( SIN(R$513)  /  TAN($A532)    ))  *  SIGN( SIN($A532))))</f>
        <v>90</v>
      </c>
      <c r="S532" s="264" t="n">
        <f aca="false">DEGREES( _xlfn.ACOT( _xlfn.COT(S$513)  *  COS(  _xlfn.ACOT( SIN(S$513)  /  TAN($A532)    ))  *  SIGN( SIN($A532))))</f>
        <v>90</v>
      </c>
      <c r="T532" s="264" t="n">
        <f aca="false">DEGREES( _xlfn.ACOT( _xlfn.COT(T$513)  *  COS(  _xlfn.ACOT( SIN(T$513)  /  TAN($A532)    ))  *  SIGN( SIN($A532))))</f>
        <v>90</v>
      </c>
      <c r="U532" s="264" t="n">
        <f aca="false">DEGREES( _xlfn.ACOT( _xlfn.COT(U$513)  *  COS(  _xlfn.ACOT( SIN(U$513)  /  TAN($A532)    ))  *  SIGN( SIN($A532))))</f>
        <v>90</v>
      </c>
      <c r="V532" s="264" t="n">
        <f aca="false">DEGREES( _xlfn.ACOT( _xlfn.COT(V$513)  *  COS(  _xlfn.ACOT( SIN(V$513)  /  TAN($A532)    ))  *  SIGN( SIN($A532))))</f>
        <v>90</v>
      </c>
      <c r="W532" s="264" t="n">
        <f aca="false">DEGREES( _xlfn.ACOT( _xlfn.COT(W$513)  *  COS(  _xlfn.ACOT( SIN(W$513)  /  TAN($A532)    ))  *  SIGN( SIN($A532))))</f>
        <v>90</v>
      </c>
      <c r="X532" s="264" t="n">
        <f aca="false">DEGREES( _xlfn.ACOT( _xlfn.COT(X$513)  *  COS(  _xlfn.ACOT( SIN(X$513)  /  TAN($A532)    ))  *  SIGN( SIN($A532))))</f>
        <v>90</v>
      </c>
      <c r="Y532" s="264" t="n">
        <f aca="false">DEGREES( _xlfn.ACOT( _xlfn.COT(Y$513)  *  COS(  _xlfn.ACOT( SIN(Y$513)  /  TAN($A532)    ))  *  SIGN( SIN($A532))))</f>
        <v>90</v>
      </c>
      <c r="Z532" s="264" t="n">
        <f aca="false">DEGREES( _xlfn.ACOT( _xlfn.COT(Z$513)  *  COS(  _xlfn.ACOT( SIN(Z$513)  /  TAN($A532)    ))  *  SIGN( SIN($A532))))</f>
        <v>90</v>
      </c>
      <c r="AA532" s="264" t="n">
        <f aca="false">DEGREES( _xlfn.ACOT( _xlfn.COT(AA$513)  *  COS(  _xlfn.ACOT( SIN(AA$513)  /  TAN($A532)    ))  *  SIGN( SIN($A532))))</f>
        <v>90</v>
      </c>
      <c r="AB532" s="264" t="n">
        <f aca="false">DEGREES( _xlfn.ACOT( _xlfn.COT(AB$513)  *  COS(  _xlfn.ACOT( SIN(AB$513)  /  TAN($A532)    ))  *  SIGN( SIN($A532))))</f>
        <v>89.9999999999799</v>
      </c>
      <c r="AC532" s="195" t="e">
        <f aca="false">DEGREES( _xlfn.ACOT( _xlfn.COT(AC$513)  *  COS(  _xlfn.ACOT( SIN(AC$513)  /  TAN($A532)    ))  *  SIGN( SIN($A532))))</f>
        <v>#NUM!</v>
      </c>
      <c r="AD532" s="195" t="e">
        <f aca="false">DEGREES( _xlfn.ACOT( _xlfn.COT(AD$513)  *  COS(  _xlfn.ACOT( SIN(AD$513)  /  TAN($A532)    ))  *  SIGN( SIN($A532))))</f>
        <v>#NUM!</v>
      </c>
      <c r="AE532" s="1"/>
      <c r="AF532" s="1"/>
      <c r="AG532" s="1"/>
      <c r="AH532" s="1"/>
      <c r="AI532" s="1"/>
      <c r="AJ532" s="1"/>
      <c r="AK532" s="1"/>
      <c r="AL532" s="1"/>
    </row>
    <row r="533" customFormat="false" ht="12.75" hidden="false" customHeight="true" outlineLevel="0" collapsed="false">
      <c r="A533" s="193" t="n">
        <f aca="false">RADIANS(MOD(B533-180,-360)+180)</f>
        <v>-1.30899693899575</v>
      </c>
      <c r="B533" s="182" t="n">
        <v>285</v>
      </c>
      <c r="C533" s="1"/>
      <c r="D533" s="264" t="n">
        <f aca="false">DEGREES( _xlfn.ACOT( _xlfn.COT(D$513)  *  COS(  _xlfn.ACOT( SIN(D$513)  /  TAN($A533)    ))  *  SIGN( SIN($A533))))</f>
        <v>75.000000002834</v>
      </c>
      <c r="E533" s="249" t="n">
        <f aca="false">DEGREES( _xlfn.ACOT( _xlfn.COT(E$513)  *  COS(  _xlfn.ACOT( SIN(E$513)  /  TAN($A533)    ))  *  SIGN( SIN($A533))))</f>
        <v>75.5224878140701</v>
      </c>
      <c r="F533" s="249" t="n">
        <f aca="false">DEGREES( _xlfn.ACOT( _xlfn.COT(F$513)  *  COS(  _xlfn.ACOT( SIN(F$513)  /  TAN($A533)    ))  *  SIGN( SIN($A533))))</f>
        <v>77.0474603577776</v>
      </c>
      <c r="G533" s="249" t="n">
        <f aca="false">DEGREES( _xlfn.ACOT( _xlfn.COT(G$513)  *  COS(  _xlfn.ACOT( SIN(G$513)  /  TAN($A533)    ))  *  SIGN( SIN($A533))))</f>
        <v>79.4547094105004</v>
      </c>
      <c r="H533" s="249" t="n">
        <f aca="false">DEGREES( _xlfn.ACOT( _xlfn.COT(H$513)  *  COS(  _xlfn.ACOT( SIN(H$513)  /  TAN($A533)    ))  *  SIGN( SIN($A533))))</f>
        <v>82.5645277738682</v>
      </c>
      <c r="I533" s="249" t="n">
        <f aca="false">DEGREES( _xlfn.ACOT( _xlfn.COT(I$513)  *  COS(  _xlfn.ACOT( SIN(I$513)  /  TAN($A533)    ))  *  SIGN( SIN($A533))))</f>
        <v>86.1590342837419</v>
      </c>
      <c r="J533" s="264" t="n">
        <f aca="false">DEGREES( _xlfn.ACOT( _xlfn.COT(J$513)  *  COS(  _xlfn.ACOT( SIN(J$513)  /  TAN($A533)    ))  *  SIGN( SIN($A533))))</f>
        <v>90</v>
      </c>
      <c r="K533" s="249" t="n">
        <f aca="false">DEGREES( _xlfn.ACOT( _xlfn.COT(K$513)  *  COS(  _xlfn.ACOT( SIN(K$513)  /  TAN($A533)    ))  *  SIGN( SIN($A533))))</f>
        <v>93.8409657162582</v>
      </c>
      <c r="L533" s="249" t="n">
        <f aca="false">DEGREES( _xlfn.ACOT( _xlfn.COT(L$513)  *  COS(  _xlfn.ACOT( SIN(L$513)  /  TAN($A533)    ))  *  SIGN( SIN($A533))))</f>
        <v>97.4354722261318</v>
      </c>
      <c r="M533" s="249" t="n">
        <f aca="false">DEGREES( _xlfn.ACOT( _xlfn.COT(M$513)  *  COS(  _xlfn.ACOT( SIN(M$513)  /  TAN($A533)    ))  *  SIGN( SIN($A533))))</f>
        <v>100.5452905895</v>
      </c>
      <c r="N533" s="249" t="n">
        <f aca="false">DEGREES( _xlfn.ACOT( _xlfn.COT(N$513)  *  COS(  _xlfn.ACOT( SIN(N$513)  /  TAN($A533)    ))  *  SIGN( SIN($A533))))</f>
        <v>102.952539642222</v>
      </c>
      <c r="O533" s="249" t="n">
        <f aca="false">DEGREES( _xlfn.ACOT( _xlfn.COT(O$513)  *  COS(  _xlfn.ACOT( SIN(O$513)  /  TAN($A533)    ))  *  SIGN( SIN($A533))))</f>
        <v>104.47751218593</v>
      </c>
      <c r="P533" s="264" t="n">
        <f aca="false">DEGREES( _xlfn.ACOT( _xlfn.COT(P$513)  *  COS(  _xlfn.ACOT( SIN(P$513)  /  TAN($A533)    ))  *  SIGN( SIN($A533))))</f>
        <v>63.434948822922</v>
      </c>
      <c r="Q533" s="249" t="n">
        <f aca="false">DEGREES( _xlfn.ACOT( _xlfn.COT(Q$513)  *  COS(  _xlfn.ACOT( SIN(Q$513)  /  TAN($A533)    ))  *  SIGN( SIN($A533))))</f>
        <v>104.47751218593</v>
      </c>
      <c r="R533" s="249" t="n">
        <f aca="false">DEGREES( _xlfn.ACOT( _xlfn.COT(R$513)  *  COS(  _xlfn.ACOT( SIN(R$513)  /  TAN($A533)    ))  *  SIGN( SIN($A533))))</f>
        <v>102.952539642222</v>
      </c>
      <c r="S533" s="249" t="n">
        <f aca="false">DEGREES( _xlfn.ACOT( _xlfn.COT(S$513)  *  COS(  _xlfn.ACOT( SIN(S$513)  /  TAN($A533)    ))  *  SIGN( SIN($A533))))</f>
        <v>100.5452905895</v>
      </c>
      <c r="T533" s="249" t="n">
        <f aca="false">DEGREES( _xlfn.ACOT( _xlfn.COT(T$513)  *  COS(  _xlfn.ACOT( SIN(T$513)  /  TAN($A533)    ))  *  SIGN( SIN($A533))))</f>
        <v>97.4354722261318</v>
      </c>
      <c r="U533" s="249" t="n">
        <f aca="false">DEGREES( _xlfn.ACOT( _xlfn.COT(U$513)  *  COS(  _xlfn.ACOT( SIN(U$513)  /  TAN($A533)    ))  *  SIGN( SIN($A533))))</f>
        <v>93.8409657162582</v>
      </c>
      <c r="V533" s="264" t="n">
        <f aca="false">DEGREES( _xlfn.ACOT( _xlfn.COT(V$513)  *  COS(  _xlfn.ACOT( SIN(V$513)  /  TAN($A533)    ))  *  SIGN( SIN($A533))))</f>
        <v>90</v>
      </c>
      <c r="W533" s="249" t="n">
        <f aca="false">DEGREES( _xlfn.ACOT( _xlfn.COT(W$513)  *  COS(  _xlfn.ACOT( SIN(W$513)  /  TAN($A533)    ))  *  SIGN( SIN($A533))))</f>
        <v>86.1590342837419</v>
      </c>
      <c r="X533" s="249" t="n">
        <f aca="false">DEGREES( _xlfn.ACOT( _xlfn.COT(X$513)  *  COS(  _xlfn.ACOT( SIN(X$513)  /  TAN($A533)    ))  *  SIGN( SIN($A533))))</f>
        <v>82.5645277738682</v>
      </c>
      <c r="Y533" s="249" t="n">
        <f aca="false">DEGREES( _xlfn.ACOT( _xlfn.COT(Y$513)  *  COS(  _xlfn.ACOT( SIN(Y$513)  /  TAN($A533)    ))  *  SIGN( SIN($A533))))</f>
        <v>79.4547094105004</v>
      </c>
      <c r="Z533" s="249" t="n">
        <f aca="false">DEGREES( _xlfn.ACOT( _xlfn.COT(Z$513)  *  COS(  _xlfn.ACOT( SIN(Z$513)  /  TAN($A533)    ))  *  SIGN( SIN($A533))))</f>
        <v>77.0474603577776</v>
      </c>
      <c r="AA533" s="249" t="n">
        <f aca="false">DEGREES( _xlfn.ACOT( _xlfn.COT(AA$513)  *  COS(  _xlfn.ACOT( SIN(AA$513)  /  TAN($A533)    ))  *  SIGN( SIN($A533))))</f>
        <v>75.5224878140701</v>
      </c>
      <c r="AB533" s="264" t="n">
        <f aca="false">DEGREES( _xlfn.ACOT( _xlfn.COT(AB$513)  *  COS(  _xlfn.ACOT( SIN(AB$513)  /  TAN($A533)    ))  *  SIGN( SIN($A533))))</f>
        <v>75.0000002337931</v>
      </c>
      <c r="AC533" s="195" t="e">
        <f aca="false">DEGREES( _xlfn.ACOT( _xlfn.COT(AC$513)  *  COS(  _xlfn.ACOT( SIN(AC$513)  /  TAN($A533)    ))  *  SIGN( SIN($A533))))</f>
        <v>#NUM!</v>
      </c>
      <c r="AD533" s="195" t="e">
        <f aca="false">DEGREES( _xlfn.ACOT( _xlfn.COT(AD$513)  *  COS(  _xlfn.ACOT( SIN(AD$513)  /  TAN($A533)    ))  *  SIGN( SIN($A533))))</f>
        <v>#NUM!</v>
      </c>
      <c r="AE533" s="1"/>
      <c r="AF533" s="1"/>
      <c r="AG533" s="1"/>
      <c r="AH533" s="1"/>
      <c r="AI533" s="1"/>
      <c r="AJ533" s="1"/>
      <c r="AK533" s="1"/>
      <c r="AL533" s="1"/>
    </row>
    <row r="534" customFormat="false" ht="12.75" hidden="false" customHeight="true" outlineLevel="0" collapsed="false">
      <c r="A534" s="193" t="n">
        <f aca="false">RADIANS(MOD(B534-180,-360)+180)</f>
        <v>-1.0471975511966</v>
      </c>
      <c r="B534" s="182" t="n">
        <v>300</v>
      </c>
      <c r="C534" s="1"/>
      <c r="D534" s="264" t="n">
        <f aca="false">DEGREES( _xlfn.ACOT( _xlfn.COT(D$513)  *  COS(  _xlfn.ACOT( SIN(D$513)  /  TAN($A534)    ))  *  SIGN( SIN($A534))))</f>
        <v>60.0000000050004</v>
      </c>
      <c r="E534" s="249" t="n">
        <f aca="false">DEGREES( _xlfn.ACOT( _xlfn.COT(E$513)  *  COS(  _xlfn.ACOT( SIN(E$513)  /  TAN($A534)    ))  *  SIGN( SIN($A534))))</f>
        <v>61.1209059825724</v>
      </c>
      <c r="F534" s="249" t="n">
        <f aca="false">DEGREES( _xlfn.ACOT( _xlfn.COT(F$513)  *  COS(  _xlfn.ACOT( SIN(F$513)  /  TAN($A534)    ))  *  SIGN( SIN($A534))))</f>
        <v>64.3410937267447</v>
      </c>
      <c r="G534" s="249" t="n">
        <f aca="false">DEGREES( _xlfn.ACOT( _xlfn.COT(G$513)  *  COS(  _xlfn.ACOT( SIN(G$513)  /  TAN($A534)    ))  *  SIGN( SIN($A534))))</f>
        <v>69.2951889453646</v>
      </c>
      <c r="H534" s="249" t="n">
        <f aca="false">DEGREES( _xlfn.ACOT( _xlfn.COT(H$513)  *  COS(  _xlfn.ACOT( SIN(H$513)  /  TAN($A534)    ))  *  SIGN( SIN($A534))))</f>
        <v>75.5224878140701</v>
      </c>
      <c r="I534" s="249" t="n">
        <f aca="false">DEGREES( _xlfn.ACOT( _xlfn.COT(I$513)  *  COS(  _xlfn.ACOT( SIN(I$513)  /  TAN($A534)    ))  *  SIGN( SIN($A534))))</f>
        <v>82.5645277738682</v>
      </c>
      <c r="J534" s="264" t="n">
        <f aca="false">DEGREES( _xlfn.ACOT( _xlfn.COT(J$513)  *  COS(  _xlfn.ACOT( SIN(J$513)  /  TAN($A534)    ))  *  SIGN( SIN($A534))))</f>
        <v>90</v>
      </c>
      <c r="K534" s="249" t="n">
        <f aca="false">DEGREES( _xlfn.ACOT( _xlfn.COT(K$513)  *  COS(  _xlfn.ACOT( SIN(K$513)  /  TAN($A534)    ))  *  SIGN( SIN($A534))))</f>
        <v>97.4354722261319</v>
      </c>
      <c r="L534" s="249" t="n">
        <f aca="false">DEGREES( _xlfn.ACOT( _xlfn.COT(L$513)  *  COS(  _xlfn.ACOT( SIN(L$513)  /  TAN($A534)    ))  *  SIGN( SIN($A534))))</f>
        <v>104.47751218593</v>
      </c>
      <c r="M534" s="249" t="n">
        <f aca="false">DEGREES( _xlfn.ACOT( _xlfn.COT(M$513)  *  COS(  _xlfn.ACOT( SIN(M$513)  /  TAN($A534)    ))  *  SIGN( SIN($A534))))</f>
        <v>110.704811054635</v>
      </c>
      <c r="N534" s="249" t="n">
        <f aca="false">DEGREES( _xlfn.ACOT( _xlfn.COT(N$513)  *  COS(  _xlfn.ACOT( SIN(N$513)  /  TAN($A534)    ))  *  SIGN( SIN($A534))))</f>
        <v>115.658906273255</v>
      </c>
      <c r="O534" s="249" t="n">
        <f aca="false">DEGREES( _xlfn.ACOT( _xlfn.COT(O$513)  *  COS(  _xlfn.ACOT( SIN(O$513)  /  TAN($A534)    ))  *  SIGN( SIN($A534))))</f>
        <v>118.879094017428</v>
      </c>
      <c r="P534" s="264" t="n">
        <f aca="false">DEGREES( _xlfn.ACOT( _xlfn.COT(P$513)  *  COS(  _xlfn.ACOT( SIN(P$513)  /  TAN($A534)    ))  *  SIGN( SIN($A534))))</f>
        <v>63.434948822922</v>
      </c>
      <c r="Q534" s="249" t="n">
        <f aca="false">DEGREES( _xlfn.ACOT( _xlfn.COT(Q$513)  *  COS(  _xlfn.ACOT( SIN(Q$513)  /  TAN($A534)    ))  *  SIGN( SIN($A534))))</f>
        <v>118.879094017428</v>
      </c>
      <c r="R534" s="249" t="n">
        <f aca="false">DEGREES( _xlfn.ACOT( _xlfn.COT(R$513)  *  COS(  _xlfn.ACOT( SIN(R$513)  /  TAN($A534)    ))  *  SIGN( SIN($A534))))</f>
        <v>115.658906273255</v>
      </c>
      <c r="S534" s="249" t="n">
        <f aca="false">DEGREES( _xlfn.ACOT( _xlfn.COT(S$513)  *  COS(  _xlfn.ACOT( SIN(S$513)  /  TAN($A534)    ))  *  SIGN( SIN($A534))))</f>
        <v>110.704811054635</v>
      </c>
      <c r="T534" s="249" t="n">
        <f aca="false">DEGREES( _xlfn.ACOT( _xlfn.COT(T$513)  *  COS(  _xlfn.ACOT( SIN(T$513)  /  TAN($A534)    ))  *  SIGN( SIN($A534))))</f>
        <v>104.47751218593</v>
      </c>
      <c r="U534" s="249" t="n">
        <f aca="false">DEGREES( _xlfn.ACOT( _xlfn.COT(U$513)  *  COS(  _xlfn.ACOT( SIN(U$513)  /  TAN($A534)    ))  *  SIGN( SIN($A534))))</f>
        <v>97.4354722261319</v>
      </c>
      <c r="V534" s="264" t="n">
        <f aca="false">DEGREES( _xlfn.ACOT( _xlfn.COT(V$513)  *  COS(  _xlfn.ACOT( SIN(V$513)  /  TAN($A534)    ))  *  SIGN( SIN($A534))))</f>
        <v>90</v>
      </c>
      <c r="W534" s="249" t="n">
        <f aca="false">DEGREES( _xlfn.ACOT( _xlfn.COT(W$513)  *  COS(  _xlfn.ACOT( SIN(W$513)  /  TAN($A534)    ))  *  SIGN( SIN($A534))))</f>
        <v>82.5645277738682</v>
      </c>
      <c r="X534" s="249" t="n">
        <f aca="false">DEGREES( _xlfn.ACOT( _xlfn.COT(X$513)  *  COS(  _xlfn.ACOT( SIN(X$513)  /  TAN($A534)    ))  *  SIGN( SIN($A534))))</f>
        <v>75.5224878140701</v>
      </c>
      <c r="Y534" s="249" t="n">
        <f aca="false">DEGREES( _xlfn.ACOT( _xlfn.COT(Y$513)  *  COS(  _xlfn.ACOT( SIN(Y$513)  /  TAN($A534)    ))  *  SIGN( SIN($A534))))</f>
        <v>69.2951889453646</v>
      </c>
      <c r="Z534" s="249" t="n">
        <f aca="false">DEGREES( _xlfn.ACOT( _xlfn.COT(Z$513)  *  COS(  _xlfn.ACOT( SIN(Z$513)  /  TAN($A534)    ))  *  SIGN( SIN($A534))))</f>
        <v>64.3410937267447</v>
      </c>
      <c r="AA534" s="249" t="n">
        <f aca="false">DEGREES( _xlfn.ACOT( _xlfn.COT(AA$513)  *  COS(  _xlfn.ACOT( SIN(AA$513)  /  TAN($A534)    ))  *  SIGN( SIN($A534))))</f>
        <v>61.1209059825724</v>
      </c>
      <c r="AB534" s="264" t="n">
        <f aca="false">DEGREES( _xlfn.ACOT( _xlfn.COT(AB$513)  *  COS(  _xlfn.ACOT( SIN(AB$513)  /  TAN($A534)    ))  *  SIGN( SIN($A534))))</f>
        <v>60.0000005038394</v>
      </c>
      <c r="AC534" s="195" t="e">
        <f aca="false">DEGREES( _xlfn.ACOT( _xlfn.COT(AC$513)  *  COS(  _xlfn.ACOT( SIN(AC$513)  /  TAN($A534)    ))  *  SIGN( SIN($A534))))</f>
        <v>#NUM!</v>
      </c>
      <c r="AD534" s="195" t="e">
        <f aca="false">DEGREES( _xlfn.ACOT( _xlfn.COT(AD$513)  *  COS(  _xlfn.ACOT( SIN(AD$513)  /  TAN($A534)    ))  *  SIGN( SIN($A534))))</f>
        <v>#NUM!</v>
      </c>
      <c r="AE534" s="1"/>
      <c r="AF534" s="1"/>
      <c r="AG534" s="1"/>
      <c r="AH534" s="1"/>
      <c r="AI534" s="1"/>
      <c r="AJ534" s="1"/>
      <c r="AK534" s="1"/>
      <c r="AL534" s="1"/>
    </row>
    <row r="535" customFormat="false" ht="12.75" hidden="false" customHeight="true" outlineLevel="0" collapsed="false">
      <c r="A535" s="193" t="n">
        <f aca="false">RADIANS(MOD(B535-180,-360)+180)</f>
        <v>-0.785398163397448</v>
      </c>
      <c r="B535" s="182" t="n">
        <v>315</v>
      </c>
      <c r="C535" s="1"/>
      <c r="D535" s="264" t="n">
        <f aca="false">DEGREES( _xlfn.ACOT( _xlfn.COT(D$513)  *  COS(  _xlfn.ACOT( SIN(D$513)  /  TAN($A535)    ))  *  SIGN( SIN($A535))))</f>
        <v>45.0000000086844</v>
      </c>
      <c r="E535" s="249" t="n">
        <f aca="false">DEGREES( _xlfn.ACOT( _xlfn.COT(E$513)  *  COS(  _xlfn.ACOT( SIN(E$513)  /  TAN($A535)    ))  *  SIGN( SIN($A535))))</f>
        <v>46.9204828581291</v>
      </c>
      <c r="F535" s="249" t="n">
        <f aca="false">DEGREES( _xlfn.ACOT( _xlfn.COT(F$513)  *  COS(  _xlfn.ACOT( SIN(F$513)  /  TAN($A535)    ))  *  SIGN( SIN($A535))))</f>
        <v>52.238756092965</v>
      </c>
      <c r="G535" s="249" t="n">
        <f aca="false">DEGREES( _xlfn.ACOT( _xlfn.COT(G$513)  *  COS(  _xlfn.ACOT( SIN(G$513)  /  TAN($A535)    ))  *  SIGN( SIN($A535))))</f>
        <v>60</v>
      </c>
      <c r="H535" s="249" t="n">
        <f aca="false">DEGREES( _xlfn.ACOT( _xlfn.COT(H$513)  *  COS(  _xlfn.ACOT( SIN(H$513)  /  TAN($A535)    ))  *  SIGN( SIN($A535))))</f>
        <v>69.2951889453646</v>
      </c>
      <c r="I535" s="249" t="n">
        <f aca="false">DEGREES( _xlfn.ACOT( _xlfn.COT(I$513)  *  COS(  _xlfn.ACOT( SIN(I$513)  /  TAN($A535)    ))  *  SIGN( SIN($A535))))</f>
        <v>79.4547094105004</v>
      </c>
      <c r="J535" s="264" t="n">
        <f aca="false">DEGREES( _xlfn.ACOT( _xlfn.COT(J$513)  *  COS(  _xlfn.ACOT( SIN(J$513)  /  TAN($A535)    ))  *  SIGN( SIN($A535))))</f>
        <v>90</v>
      </c>
      <c r="K535" s="249" t="n">
        <f aca="false">DEGREES( _xlfn.ACOT( _xlfn.COT(K$513)  *  COS(  _xlfn.ACOT( SIN(K$513)  /  TAN($A535)    ))  *  SIGN( SIN($A535))))</f>
        <v>100.5452905895</v>
      </c>
      <c r="L535" s="249" t="n">
        <f aca="false">DEGREES( _xlfn.ACOT( _xlfn.COT(L$513)  *  COS(  _xlfn.ACOT( SIN(L$513)  /  TAN($A535)    ))  *  SIGN( SIN($A535))))</f>
        <v>110.704811054635</v>
      </c>
      <c r="M535" s="249" t="n">
        <f aca="false">DEGREES( _xlfn.ACOT( _xlfn.COT(M$513)  *  COS(  _xlfn.ACOT( SIN(M$513)  /  TAN($A535)    ))  *  SIGN( SIN($A535))))</f>
        <v>120</v>
      </c>
      <c r="N535" s="249" t="n">
        <f aca="false">DEGREES( _xlfn.ACOT( _xlfn.COT(N$513)  *  COS(  _xlfn.ACOT( SIN(N$513)  /  TAN($A535)    ))  *  SIGN( SIN($A535))))</f>
        <v>127.761243907035</v>
      </c>
      <c r="O535" s="249" t="n">
        <f aca="false">DEGREES( _xlfn.ACOT( _xlfn.COT(O$513)  *  COS(  _xlfn.ACOT( SIN(O$513)  /  TAN($A535)    ))  *  SIGN( SIN($A535))))</f>
        <v>133.079517141871</v>
      </c>
      <c r="P535" s="264" t="n">
        <f aca="false">DEGREES( _xlfn.ACOT( _xlfn.COT(P$513)  *  COS(  _xlfn.ACOT( SIN(P$513)  /  TAN($A535)    ))  *  SIGN( SIN($A535))))</f>
        <v>142.709343215566</v>
      </c>
      <c r="Q535" s="249" t="n">
        <f aca="false">DEGREES( _xlfn.ACOT( _xlfn.COT(Q$513)  *  COS(  _xlfn.ACOT( SIN(Q$513)  /  TAN($A535)    ))  *  SIGN( SIN($A535))))</f>
        <v>133.079517141871</v>
      </c>
      <c r="R535" s="249" t="n">
        <f aca="false">DEGREES( _xlfn.ACOT( _xlfn.COT(R$513)  *  COS(  _xlfn.ACOT( SIN(R$513)  /  TAN($A535)    ))  *  SIGN( SIN($A535))))</f>
        <v>127.761243907035</v>
      </c>
      <c r="S535" s="249" t="n">
        <f aca="false">DEGREES( _xlfn.ACOT( _xlfn.COT(S$513)  *  COS(  _xlfn.ACOT( SIN(S$513)  /  TAN($A535)    ))  *  SIGN( SIN($A535))))</f>
        <v>120</v>
      </c>
      <c r="T535" s="249" t="n">
        <f aca="false">DEGREES( _xlfn.ACOT( _xlfn.COT(T$513)  *  COS(  _xlfn.ACOT( SIN(T$513)  /  TAN($A535)    ))  *  SIGN( SIN($A535))))</f>
        <v>110.704811054635</v>
      </c>
      <c r="U535" s="249" t="n">
        <f aca="false">DEGREES( _xlfn.ACOT( _xlfn.COT(U$513)  *  COS(  _xlfn.ACOT( SIN(U$513)  /  TAN($A535)    ))  *  SIGN( SIN($A535))))</f>
        <v>100.5452905895</v>
      </c>
      <c r="V535" s="264" t="n">
        <f aca="false">DEGREES( _xlfn.ACOT( _xlfn.COT(V$513)  *  COS(  _xlfn.ACOT( SIN(V$513)  /  TAN($A535)    ))  *  SIGN( SIN($A535))))</f>
        <v>90</v>
      </c>
      <c r="W535" s="249" t="n">
        <f aca="false">DEGREES( _xlfn.ACOT( _xlfn.COT(W$513)  *  COS(  _xlfn.ACOT( SIN(W$513)  /  TAN($A535)    ))  *  SIGN( SIN($A535))))</f>
        <v>79.4547094105004</v>
      </c>
      <c r="X535" s="249" t="n">
        <f aca="false">DEGREES( _xlfn.ACOT( _xlfn.COT(X$513)  *  COS(  _xlfn.ACOT( SIN(X$513)  /  TAN($A535)    ))  *  SIGN( SIN($A535))))</f>
        <v>69.2951889453646</v>
      </c>
      <c r="Y535" s="249" t="n">
        <f aca="false">DEGREES( _xlfn.ACOT( _xlfn.COT(Y$513)  *  COS(  _xlfn.ACOT( SIN(Y$513)  /  TAN($A535)    ))  *  SIGN( SIN($A535))))</f>
        <v>60</v>
      </c>
      <c r="Z535" s="249" t="n">
        <f aca="false">DEGREES( _xlfn.ACOT( _xlfn.COT(Z$513)  *  COS(  _xlfn.ACOT( SIN(Z$513)  /  TAN($A535)    ))  *  SIGN( SIN($A535))))</f>
        <v>52.238756092965</v>
      </c>
      <c r="AA535" s="249" t="n">
        <f aca="false">DEGREES( _xlfn.ACOT( _xlfn.COT(AA$513)  *  COS(  _xlfn.ACOT( SIN(AA$513)  /  TAN($A535)    ))  *  SIGN( SIN($A535))))</f>
        <v>46.9204828581291</v>
      </c>
      <c r="AB535" s="264" t="n">
        <f aca="false">DEGREES( _xlfn.ACOT( _xlfn.COT(AB$513)  *  COS(  _xlfn.ACOT( SIN(AB$513)  /  TAN($A535)    ))  *  SIGN( SIN($A535))))</f>
        <v>45.0000008726716</v>
      </c>
      <c r="AC535" s="195" t="e">
        <f aca="false">DEGREES( _xlfn.ACOT( _xlfn.COT(AC$513)  *  COS(  _xlfn.ACOT( SIN(AC$513)  /  TAN($A535)    ))  *  SIGN( SIN($A535))))</f>
        <v>#NUM!</v>
      </c>
      <c r="AD535" s="195" t="e">
        <f aca="false">DEGREES( _xlfn.ACOT( _xlfn.COT(AD$513)  *  COS(  _xlfn.ACOT( SIN(AD$513)  /  TAN($A535)    ))  *  SIGN( SIN($A535))))</f>
        <v>#NUM!</v>
      </c>
      <c r="AE535" s="1"/>
      <c r="AF535" s="1"/>
      <c r="AG535" s="1"/>
      <c r="AH535" s="1"/>
      <c r="AI535" s="1"/>
      <c r="AJ535" s="1"/>
      <c r="AK535" s="1"/>
      <c r="AL535" s="1"/>
    </row>
    <row r="536" customFormat="false" ht="12.75" hidden="false" customHeight="true" outlineLevel="0" collapsed="false">
      <c r="A536" s="193" t="n">
        <f aca="false">RADIANS(MOD(B536-180,-360)+180)</f>
        <v>-0.523598775598299</v>
      </c>
      <c r="B536" s="182" t="n">
        <v>330</v>
      </c>
      <c r="C536" s="1"/>
      <c r="D536" s="264" t="n">
        <f aca="false">DEGREES( _xlfn.ACOT( _xlfn.COT(D$513)  *  COS(  _xlfn.ACOT( SIN(D$513)  /  TAN($A536)    ))  *  SIGN( SIN($A536))))</f>
        <v>30.0000000151836</v>
      </c>
      <c r="E536" s="249" t="n">
        <f aca="false">DEGREES( _xlfn.ACOT( _xlfn.COT(E$513)  *  COS(  _xlfn.ACOT( SIN(E$513)  /  TAN($A536)    ))  *  SIGN( SIN($A536))))</f>
        <v>33.2259422032876</v>
      </c>
      <c r="F536" s="249" t="n">
        <f aca="false">DEGREES( _xlfn.ACOT( _xlfn.COT(F$513)  *  COS(  _xlfn.ACOT( SIN(F$513)  /  TAN($A536)    ))  *  SIGN( SIN($A536))))</f>
        <v>41.4096221092709</v>
      </c>
      <c r="G536" s="249" t="n">
        <f aca="false">DEGREES( _xlfn.ACOT( _xlfn.COT(G$513)  *  COS(  _xlfn.ACOT( SIN(G$513)  /  TAN($A536)    ))  *  SIGN( SIN($A536))))</f>
        <v>52.238756092965</v>
      </c>
      <c r="H536" s="249" t="n">
        <f aca="false">DEGREES( _xlfn.ACOT( _xlfn.COT(H$513)  *  COS(  _xlfn.ACOT( SIN(H$513)  /  TAN($A536)    ))  *  SIGN( SIN($A536))))</f>
        <v>64.3410937267447</v>
      </c>
      <c r="I536" s="249" t="n">
        <f aca="false">DEGREES( _xlfn.ACOT( _xlfn.COT(I$513)  *  COS(  _xlfn.ACOT( SIN(I$513)  /  TAN($A536)    ))  *  SIGN( SIN($A536))))</f>
        <v>77.0474603577776</v>
      </c>
      <c r="J536" s="264" t="n">
        <f aca="false">DEGREES( _xlfn.ACOT( _xlfn.COT(J$513)  *  COS(  _xlfn.ACOT( SIN(J$513)  /  TAN($A536)    ))  *  SIGN( SIN($A536))))</f>
        <v>90</v>
      </c>
      <c r="K536" s="249" t="n">
        <f aca="false">DEGREES( _xlfn.ACOT( _xlfn.COT(K$513)  *  COS(  _xlfn.ACOT( SIN(K$513)  /  TAN($A536)    ))  *  SIGN( SIN($A536))))</f>
        <v>102.952539642222</v>
      </c>
      <c r="L536" s="249" t="n">
        <f aca="false">DEGREES( _xlfn.ACOT( _xlfn.COT(L$513)  *  COS(  _xlfn.ACOT( SIN(L$513)  /  TAN($A536)    ))  *  SIGN( SIN($A536))))</f>
        <v>115.658906273255</v>
      </c>
      <c r="M536" s="249" t="n">
        <f aca="false">DEGREES( _xlfn.ACOT( _xlfn.COT(M$513)  *  COS(  _xlfn.ACOT( SIN(M$513)  /  TAN($A536)    ))  *  SIGN( SIN($A536))))</f>
        <v>127.761243907035</v>
      </c>
      <c r="N536" s="249" t="n">
        <f aca="false">DEGREES( _xlfn.ACOT( _xlfn.COT(N$513)  *  COS(  _xlfn.ACOT( SIN(N$513)  /  TAN($A536)    ))  *  SIGN( SIN($A536))))</f>
        <v>138.590377890729</v>
      </c>
      <c r="O536" s="249" t="n">
        <f aca="false">DEGREES( _xlfn.ACOT( _xlfn.COT(O$513)  *  COS(  _xlfn.ACOT( SIN(O$513)  /  TAN($A536)    ))  *  SIGN( SIN($A536))))</f>
        <v>146.774057796712</v>
      </c>
      <c r="P536" s="264" t="n">
        <f aca="false">DEGREES( _xlfn.ACOT( _xlfn.COT(P$513)  *  COS(  _xlfn.ACOT( SIN(P$513)  /  TAN($A536)    ))  *  SIGN( SIN($A536))))</f>
        <v>142.709343215566</v>
      </c>
      <c r="Q536" s="249" t="n">
        <f aca="false">DEGREES( _xlfn.ACOT( _xlfn.COT(Q$513)  *  COS(  _xlfn.ACOT( SIN(Q$513)  /  TAN($A536)    ))  *  SIGN( SIN($A536))))</f>
        <v>146.774057796712</v>
      </c>
      <c r="R536" s="249" t="n">
        <f aca="false">DEGREES( _xlfn.ACOT( _xlfn.COT(R$513)  *  COS(  _xlfn.ACOT( SIN(R$513)  /  TAN($A536)    ))  *  SIGN( SIN($A536))))</f>
        <v>138.590377890729</v>
      </c>
      <c r="S536" s="249" t="n">
        <f aca="false">DEGREES( _xlfn.ACOT( _xlfn.COT(S$513)  *  COS(  _xlfn.ACOT( SIN(S$513)  /  TAN($A536)    ))  *  SIGN( SIN($A536))))</f>
        <v>127.761243907035</v>
      </c>
      <c r="T536" s="249" t="n">
        <f aca="false">DEGREES( _xlfn.ACOT( _xlfn.COT(T$513)  *  COS(  _xlfn.ACOT( SIN(T$513)  /  TAN($A536)    ))  *  SIGN( SIN($A536))))</f>
        <v>115.658906273255</v>
      </c>
      <c r="U536" s="249" t="n">
        <f aca="false">DEGREES( _xlfn.ACOT( _xlfn.COT(U$513)  *  COS(  _xlfn.ACOT( SIN(U$513)  /  TAN($A536)    ))  *  SIGN( SIN($A536))))</f>
        <v>102.952539642222</v>
      </c>
      <c r="V536" s="264" t="n">
        <f aca="false">DEGREES( _xlfn.ACOT( _xlfn.COT(V$513)  *  COS(  _xlfn.ACOT( SIN(V$513)  /  TAN($A536)    ))  *  SIGN( SIN($A536))))</f>
        <v>90</v>
      </c>
      <c r="W536" s="249" t="n">
        <f aca="false">DEGREES( _xlfn.ACOT( _xlfn.COT(W$513)  *  COS(  _xlfn.ACOT( SIN(W$513)  /  TAN($A536)    ))  *  SIGN( SIN($A536))))</f>
        <v>77.0474603577776</v>
      </c>
      <c r="X536" s="249" t="n">
        <f aca="false">DEGREES( _xlfn.ACOT( _xlfn.COT(X$513)  *  COS(  _xlfn.ACOT( SIN(X$513)  /  TAN($A536)    ))  *  SIGN( SIN($A536))))</f>
        <v>64.3410937267447</v>
      </c>
      <c r="Y536" s="249" t="n">
        <f aca="false">DEGREES( _xlfn.ACOT( _xlfn.COT(Y$513)  *  COS(  _xlfn.ACOT( SIN(Y$513)  /  TAN($A536)    ))  *  SIGN( SIN($A536))))</f>
        <v>52.238756092965</v>
      </c>
      <c r="Z536" s="249" t="n">
        <f aca="false">DEGREES( _xlfn.ACOT( _xlfn.COT(Z$513)  *  COS(  _xlfn.ACOT( SIN(Z$513)  /  TAN($A536)    ))  *  SIGN( SIN($A536))))</f>
        <v>41.4096221092709</v>
      </c>
      <c r="AA536" s="249" t="n">
        <f aca="false">DEGREES( _xlfn.ACOT( _xlfn.COT(AA$513)  *  COS(  _xlfn.ACOT( SIN(AA$513)  /  TAN($A536)    ))  *  SIGN( SIN($A536))))</f>
        <v>33.2259422032876</v>
      </c>
      <c r="AB536" s="264" t="n">
        <f aca="false">DEGREES( _xlfn.ACOT( _xlfn.COT(AB$513)  *  COS(  _xlfn.ACOT( SIN(AB$513)  /  TAN($A536)    ))  *  SIGN( SIN($A536))))</f>
        <v>30.0000015115014</v>
      </c>
      <c r="AC536" s="195" t="e">
        <f aca="false">DEGREES( _xlfn.ACOT( _xlfn.COT(AC$513)  *  COS(  _xlfn.ACOT( SIN(AC$513)  /  TAN($A536)    ))  *  SIGN( SIN($A536))))</f>
        <v>#NUM!</v>
      </c>
      <c r="AD536" s="195" t="e">
        <f aca="false">DEGREES( _xlfn.ACOT( _xlfn.COT(AD$513)  *  COS(  _xlfn.ACOT( SIN(AD$513)  /  TAN($A536)    ))  *  SIGN( SIN($A536))))</f>
        <v>#NUM!</v>
      </c>
      <c r="AE536" s="1"/>
      <c r="AF536" s="1"/>
      <c r="AG536" s="1"/>
      <c r="AH536" s="1"/>
      <c r="AI536" s="1"/>
      <c r="AJ536" s="1"/>
      <c r="AK536" s="1"/>
      <c r="AL536" s="1"/>
    </row>
    <row r="537" customFormat="false" ht="12.75" hidden="false" customHeight="true" outlineLevel="0" collapsed="false">
      <c r="A537" s="193" t="n">
        <f aca="false">RADIANS(MOD(B537-180,-360)+180)</f>
        <v>-0.261799387799149</v>
      </c>
      <c r="B537" s="182" t="n">
        <v>345</v>
      </c>
      <c r="C537" s="1"/>
      <c r="D537" s="264" t="n">
        <f aca="false">DEGREES( _xlfn.ACOT( _xlfn.COT(D$513)  *  COS(  _xlfn.ACOT( SIN(D$513)  /  TAN($A537)    ))  *  SIGN( SIN($A537))))</f>
        <v>15.0000000325759</v>
      </c>
      <c r="E537" s="249" t="n">
        <f aca="false">DEGREES( _xlfn.ACOT( _xlfn.COT(E$513)  *  COS(  _xlfn.ACOT( SIN(E$513)  /  TAN($A537)    ))  *  SIGN( SIN($A537))))</f>
        <v>21.0905811789991</v>
      </c>
      <c r="F537" s="249" t="n">
        <f aca="false">DEGREES( _xlfn.ACOT( _xlfn.COT(F$513)  *  COS(  _xlfn.ACOT( SIN(F$513)  /  TAN($A537)    ))  *  SIGN( SIN($A537))))</f>
        <v>33.2259422032876</v>
      </c>
      <c r="G537" s="249" t="n">
        <f aca="false">DEGREES( _xlfn.ACOT( _xlfn.COT(G$513)  *  COS(  _xlfn.ACOT( SIN(G$513)  /  TAN($A537)    ))  *  SIGN( SIN($A537))))</f>
        <v>46.9204828581291</v>
      </c>
      <c r="H537" s="249" t="n">
        <f aca="false">DEGREES( _xlfn.ACOT( _xlfn.COT(H$513)  *  COS(  _xlfn.ACOT( SIN(H$513)  /  TAN($A537)    ))  *  SIGN( SIN($A537))))</f>
        <v>61.1209059825724</v>
      </c>
      <c r="I537" s="249" t="n">
        <f aca="false">DEGREES( _xlfn.ACOT( _xlfn.COT(I$513)  *  COS(  _xlfn.ACOT( SIN(I$513)  /  TAN($A537)    ))  *  SIGN( SIN($A537))))</f>
        <v>75.5224878140701</v>
      </c>
      <c r="J537" s="264" t="n">
        <f aca="false">DEGREES( _xlfn.ACOT( _xlfn.COT(J$513)  *  COS(  _xlfn.ACOT( SIN(J$513)  /  TAN($A537)    ))  *  SIGN( SIN($A537))))</f>
        <v>90</v>
      </c>
      <c r="K537" s="249" t="n">
        <f aca="false">DEGREES( _xlfn.ACOT( _xlfn.COT(K$513)  *  COS(  _xlfn.ACOT( SIN(K$513)  /  TAN($A537)    ))  *  SIGN( SIN($A537))))</f>
        <v>104.47751218593</v>
      </c>
      <c r="L537" s="249" t="n">
        <f aca="false">DEGREES( _xlfn.ACOT( _xlfn.COT(L$513)  *  COS(  _xlfn.ACOT( SIN(L$513)  /  TAN($A537)    ))  *  SIGN( SIN($A537))))</f>
        <v>118.879094017428</v>
      </c>
      <c r="M537" s="249" t="n">
        <f aca="false">DEGREES( _xlfn.ACOT( _xlfn.COT(M$513)  *  COS(  _xlfn.ACOT( SIN(M$513)  /  TAN($A537)    ))  *  SIGN( SIN($A537))))</f>
        <v>133.079517141871</v>
      </c>
      <c r="N537" s="249" t="n">
        <f aca="false">DEGREES( _xlfn.ACOT( _xlfn.COT(N$513)  *  COS(  _xlfn.ACOT( SIN(N$513)  /  TAN($A537)    ))  *  SIGN( SIN($A537))))</f>
        <v>146.774057796712</v>
      </c>
      <c r="O537" s="249" t="n">
        <f aca="false">DEGREES( _xlfn.ACOT( _xlfn.COT(O$513)  *  COS(  _xlfn.ACOT( SIN(O$513)  /  TAN($A537)    ))  *  SIGN( SIN($A537))))</f>
        <v>158.909418821001</v>
      </c>
      <c r="P537" s="264" t="n">
        <f aca="false">DEGREES( _xlfn.ACOT( _xlfn.COT(P$513)  *  COS(  _xlfn.ACOT( SIN(P$513)  /  TAN($A537)    ))  *  SIGN( SIN($A537))))</f>
        <v>162.262050867612</v>
      </c>
      <c r="Q537" s="249" t="n">
        <f aca="false">DEGREES( _xlfn.ACOT( _xlfn.COT(Q$513)  *  COS(  _xlfn.ACOT( SIN(Q$513)  /  TAN($A537)    ))  *  SIGN( SIN($A537))))</f>
        <v>158.909418821001</v>
      </c>
      <c r="R537" s="249" t="n">
        <f aca="false">DEGREES( _xlfn.ACOT( _xlfn.COT(R$513)  *  COS(  _xlfn.ACOT( SIN(R$513)  /  TAN($A537)    ))  *  SIGN( SIN($A537))))</f>
        <v>146.774057796712</v>
      </c>
      <c r="S537" s="249" t="n">
        <f aca="false">DEGREES( _xlfn.ACOT( _xlfn.COT(S$513)  *  COS(  _xlfn.ACOT( SIN(S$513)  /  TAN($A537)    ))  *  SIGN( SIN($A537))))</f>
        <v>133.079517141871</v>
      </c>
      <c r="T537" s="249" t="n">
        <f aca="false">DEGREES( _xlfn.ACOT( _xlfn.COT(T$513)  *  COS(  _xlfn.ACOT( SIN(T$513)  /  TAN($A537)    ))  *  SIGN( SIN($A537))))</f>
        <v>118.879094017428</v>
      </c>
      <c r="U537" s="249" t="n">
        <f aca="false">DEGREES( _xlfn.ACOT( _xlfn.COT(U$513)  *  COS(  _xlfn.ACOT( SIN(U$513)  /  TAN($A537)    ))  *  SIGN( SIN($A537))))</f>
        <v>104.47751218593</v>
      </c>
      <c r="V537" s="264" t="n">
        <f aca="false">DEGREES( _xlfn.ACOT( _xlfn.COT(V$513)  *  COS(  _xlfn.ACOT( SIN(V$513)  /  TAN($A537)    ))  *  SIGN( SIN($A537))))</f>
        <v>90</v>
      </c>
      <c r="W537" s="249" t="n">
        <f aca="false">DEGREES( _xlfn.ACOT( _xlfn.COT(W$513)  *  COS(  _xlfn.ACOT( SIN(W$513)  /  TAN($A537)    ))  *  SIGN( SIN($A537))))</f>
        <v>75.5224878140701</v>
      </c>
      <c r="X537" s="249" t="n">
        <f aca="false">DEGREES( _xlfn.ACOT( _xlfn.COT(X$513)  *  COS(  _xlfn.ACOT( SIN(X$513)  /  TAN($A537)    ))  *  SIGN( SIN($A537))))</f>
        <v>61.1209059825724</v>
      </c>
      <c r="Y537" s="249" t="n">
        <f aca="false">DEGREES( _xlfn.ACOT( _xlfn.COT(Y$513)  *  COS(  _xlfn.ACOT( SIN(Y$513)  /  TAN($A537)    ))  *  SIGN( SIN($A537))))</f>
        <v>46.9204828581291</v>
      </c>
      <c r="Z537" s="249" t="n">
        <f aca="false">DEGREES( _xlfn.ACOT( _xlfn.COT(Z$513)  *  COS(  _xlfn.ACOT( SIN(Z$513)  /  TAN($A537)    ))  *  SIGN( SIN($A537))))</f>
        <v>33.2259422032876</v>
      </c>
      <c r="AA537" s="249" t="n">
        <f aca="false">DEGREES( _xlfn.ACOT( _xlfn.COT(AA$513)  *  COS(  _xlfn.ACOT( SIN(AA$513)  /  TAN($A537)    ))  *  SIGN( SIN($A537))))</f>
        <v>21.0905811789991</v>
      </c>
      <c r="AB537" s="264" t="n">
        <f aca="false">DEGREES( _xlfn.ACOT( _xlfn.COT(AB$513)  *  COS(  _xlfn.ACOT( SIN(AB$513)  /  TAN($A537)    ))  *  SIGN( SIN($A537))))</f>
        <v>15.0000032568246</v>
      </c>
      <c r="AC537" s="195" t="e">
        <f aca="false">DEGREES( _xlfn.ACOT( _xlfn.COT(AC$513)  *  COS(  _xlfn.ACOT( SIN(AC$513)  /  TAN($A537)    ))  *  SIGN( SIN($A537))))</f>
        <v>#NUM!</v>
      </c>
      <c r="AD537" s="195" t="e">
        <f aca="false">DEGREES( _xlfn.ACOT( _xlfn.COT(AD$513)  *  COS(  _xlfn.ACOT( SIN(AD$513)  /  TAN($A537)    ))  *  SIGN( SIN($A537))))</f>
        <v>#NUM!</v>
      </c>
      <c r="AE537" s="1"/>
      <c r="AF537" s="1"/>
      <c r="AG537" s="1"/>
      <c r="AH537" s="1"/>
      <c r="AI537" s="1"/>
      <c r="AJ537" s="1"/>
      <c r="AK537" s="1"/>
      <c r="AL537" s="1"/>
    </row>
    <row r="538" customFormat="false" ht="12.75" hidden="false" customHeight="true" outlineLevel="0" collapsed="false">
      <c r="A538" s="193" t="n">
        <f aca="false">RADIANS(MOD(B538-180,-360)+180)</f>
        <v>-0.000174532925199274</v>
      </c>
      <c r="B538" s="198" t="n">
        <v>359.99</v>
      </c>
      <c r="C538" s="1"/>
      <c r="D538" s="264" t="n">
        <f aca="false">DEGREES( _xlfn.ACOT( _xlfn.COT(D$513)  *  COS(  _xlfn.ACOT( SIN(D$513)  /  TAN($A538)    ))  *  SIGN( SIN($A538))))</f>
        <v>0.0100498756205988</v>
      </c>
      <c r="E538" s="264" t="n">
        <f aca="false">DEGREES( _xlfn.ACOT( _xlfn.COT(E$513)  *  COS(  _xlfn.ACOT( SIN(E$513)  /  TAN($A538)    ))  *  SIGN( SIN($A538))))</f>
        <v>15.0000032568284</v>
      </c>
      <c r="F538" s="264" t="n">
        <f aca="false">DEGREES( _xlfn.ACOT( _xlfn.COT(F$513)  *  COS(  _xlfn.ACOT( SIN(F$513)  /  TAN($A538)    ))  *  SIGN( SIN($A538))))</f>
        <v>30.0000015114994</v>
      </c>
      <c r="G538" s="264" t="n">
        <f aca="false">DEGREES( _xlfn.ACOT( _xlfn.COT(G$513)  *  COS(  _xlfn.ACOT( SIN(G$513)  /  TAN($A538)    ))  *  SIGN( SIN($A538))))</f>
        <v>45.0000008726646</v>
      </c>
      <c r="H538" s="264" t="n">
        <f aca="false">DEGREES( _xlfn.ACOT( _xlfn.COT(H$513)  *  COS(  _xlfn.ACOT( SIN(H$513)  /  TAN($A538)    ))  *  SIGN( SIN($A538))))</f>
        <v>60.0000005038332</v>
      </c>
      <c r="I538" s="264" t="n">
        <f aca="false">DEGREES( _xlfn.ACOT( _xlfn.COT(I$513)  *  COS(  _xlfn.ACOT( SIN(I$513)  /  TAN($A538)    ))  *  SIGN( SIN($A538))))</f>
        <v>75.0000002338298</v>
      </c>
      <c r="J538" s="264" t="n">
        <f aca="false">DEGREES( _xlfn.ACOT( _xlfn.COT(J$513)  *  COS(  _xlfn.ACOT( SIN(J$513)  /  TAN($A538)    ))  *  SIGN( SIN($A538))))</f>
        <v>90</v>
      </c>
      <c r="K538" s="264" t="n">
        <f aca="false">DEGREES( _xlfn.ACOT( _xlfn.COT(K$513)  *  COS(  _xlfn.ACOT( SIN(K$513)  /  TAN($A538)    ))  *  SIGN( SIN($A538))))</f>
        <v>104.99999976617</v>
      </c>
      <c r="L538" s="264" t="n">
        <f aca="false">DEGREES( _xlfn.ACOT( _xlfn.COT(L$513)  *  COS(  _xlfn.ACOT( SIN(L$513)  /  TAN($A538)    ))  *  SIGN( SIN($A538))))</f>
        <v>119.999999496167</v>
      </c>
      <c r="M538" s="264" t="n">
        <f aca="false">DEGREES( _xlfn.ACOT( _xlfn.COT(M$513)  *  COS(  _xlfn.ACOT( SIN(M$513)  /  TAN($A538)    ))  *  SIGN( SIN($A538))))</f>
        <v>134.999999127335</v>
      </c>
      <c r="N538" s="264" t="n">
        <f aca="false">DEGREES( _xlfn.ACOT( _xlfn.COT(N$513)  *  COS(  _xlfn.ACOT( SIN(N$513)  /  TAN($A538)    ))  *  SIGN( SIN($A538))))</f>
        <v>149.999998488501</v>
      </c>
      <c r="O538" s="264" t="n">
        <f aca="false">DEGREES( _xlfn.ACOT( _xlfn.COT(O$513)  *  COS(  _xlfn.ACOT( SIN(O$513)  /  TAN($A538)    ))  *  SIGN( SIN($A538))))</f>
        <v>164.999996743172</v>
      </c>
      <c r="P538" s="264" t="n">
        <f aca="false">DEGREES( _xlfn.ACOT( _xlfn.COT(P$513)  *  COS(  _xlfn.ACOT( SIN(P$513)  /  TAN($A538)    ))  *  SIGN( SIN($A538))))</f>
        <v>179.989998985126</v>
      </c>
      <c r="Q538" s="264" t="n">
        <f aca="false">DEGREES( _xlfn.ACOT( _xlfn.COT(Q$513)  *  COS(  _xlfn.ACOT( SIN(Q$513)  /  TAN($A538)    ))  *  SIGN( SIN($A538))))</f>
        <v>164.999996743172</v>
      </c>
      <c r="R538" s="264" t="n">
        <f aca="false">DEGREES( _xlfn.ACOT( _xlfn.COT(R$513)  *  COS(  _xlfn.ACOT( SIN(R$513)  /  TAN($A538)    ))  *  SIGN( SIN($A538))))</f>
        <v>149.999998488501</v>
      </c>
      <c r="S538" s="264" t="n">
        <f aca="false">DEGREES( _xlfn.ACOT( _xlfn.COT(S$513)  *  COS(  _xlfn.ACOT( SIN(S$513)  /  TAN($A538)    ))  *  SIGN( SIN($A538))))</f>
        <v>134.999999127335</v>
      </c>
      <c r="T538" s="264" t="n">
        <f aca="false">DEGREES( _xlfn.ACOT( _xlfn.COT(T$513)  *  COS(  _xlfn.ACOT( SIN(T$513)  /  TAN($A538)    ))  *  SIGN( SIN($A538))))</f>
        <v>119.999999496167</v>
      </c>
      <c r="U538" s="264" t="n">
        <f aca="false">DEGREES( _xlfn.ACOT( _xlfn.COT(U$513)  *  COS(  _xlfn.ACOT( SIN(U$513)  /  TAN($A538)    ))  *  SIGN( SIN($A538))))</f>
        <v>104.99999976617</v>
      </c>
      <c r="V538" s="264" t="n">
        <f aca="false">DEGREES( _xlfn.ACOT( _xlfn.COT(V$513)  *  COS(  _xlfn.ACOT( SIN(V$513)  /  TAN($A538)    ))  *  SIGN( SIN($A538))))</f>
        <v>90</v>
      </c>
      <c r="W538" s="264" t="n">
        <f aca="false">DEGREES( _xlfn.ACOT( _xlfn.COT(W$513)  *  COS(  _xlfn.ACOT( SIN(W$513)  /  TAN($A538)    ))  *  SIGN( SIN($A538))))</f>
        <v>75.0000002338298</v>
      </c>
      <c r="X538" s="264" t="n">
        <f aca="false">DEGREES( _xlfn.ACOT( _xlfn.COT(X$513)  *  COS(  _xlfn.ACOT( SIN(X$513)  /  TAN($A538)    ))  *  SIGN( SIN($A538))))</f>
        <v>60.0000005038332</v>
      </c>
      <c r="Y538" s="264" t="n">
        <f aca="false">DEGREES( _xlfn.ACOT( _xlfn.COT(Y$513)  *  COS(  _xlfn.ACOT( SIN(Y$513)  /  TAN($A538)    ))  *  SIGN( SIN($A538))))</f>
        <v>45.0000008726646</v>
      </c>
      <c r="Z538" s="264" t="n">
        <f aca="false">DEGREES( _xlfn.ACOT( _xlfn.COT(Z$513)  *  COS(  _xlfn.ACOT( SIN(Z$513)  /  TAN($A538)    ))  *  SIGN( SIN($A538))))</f>
        <v>30.0000015114994</v>
      </c>
      <c r="AA538" s="264" t="n">
        <f aca="false">DEGREES( _xlfn.ACOT( _xlfn.COT(AA$513)  *  COS(  _xlfn.ACOT( SIN(AA$513)  /  TAN($A538)    ))  *  SIGN( SIN($A538))))</f>
        <v>15.0000032568284</v>
      </c>
      <c r="AB538" s="264" t="n">
        <f aca="false">DEGREES( _xlfn.ACOT( _xlfn.COT(AB$513)  *  COS(  _xlfn.ACOT( SIN(AB$513)  /  TAN($A538)    ))  *  SIGN( SIN($A538))))</f>
        <v>0.0141421355878128</v>
      </c>
      <c r="AC538" s="195" t="e">
        <f aca="false">DEGREES( _xlfn.ACOT( _xlfn.COT(AC$513)  *  COS(  _xlfn.ACOT( SIN(AC$513)  /  TAN($A538)    ))  *  SIGN( SIN($A538))))</f>
        <v>#NUM!</v>
      </c>
      <c r="AD538" s="195" t="e">
        <f aca="false">DEGREES( _xlfn.ACOT( _xlfn.COT(AD$513)  *  COS(  _xlfn.ACOT( SIN(AD$513)  /  TAN($A538)    ))  *  SIGN( SIN($A538))))</f>
        <v>#NUM!</v>
      </c>
      <c r="AE538" s="1"/>
      <c r="AF538" s="1"/>
      <c r="AG538" s="1"/>
      <c r="AH538" s="1"/>
      <c r="AI538" s="1"/>
      <c r="AJ538" s="1"/>
      <c r="AK538" s="1"/>
      <c r="AL538" s="1"/>
    </row>
    <row r="539" customFormat="false" ht="12.75" hidden="false" customHeight="true" outlineLevel="0" collapsed="false">
      <c r="A539" s="192" t="n">
        <f aca="false">RADIANS(MOD(B539-180,-360)+180)</f>
        <v>0</v>
      </c>
      <c r="B539" s="184" t="n">
        <v>360</v>
      </c>
      <c r="C539" s="1"/>
      <c r="D539" s="195" t="e">
        <f aca="false">DEGREES( _xlfn.ACOT( _xlfn.COT(D$513)  *  COS(  _xlfn.ACOT( SIN(D$513)  /  TAN($A539)    ))  *  SIGN( SIN($A539))))</f>
        <v>#DIV/0!</v>
      </c>
      <c r="E539" s="195" t="e">
        <f aca="false">DEGREES( _xlfn.ACOT( _xlfn.COT(E$513)  *  COS(  _xlfn.ACOT( SIN(E$513)  /  TAN($A539)    ))  *  SIGN( SIN($A539))))</f>
        <v>#DIV/0!</v>
      </c>
      <c r="F539" s="195" t="e">
        <f aca="false">DEGREES( _xlfn.ACOT( _xlfn.COT(F$513)  *  COS(  _xlfn.ACOT( SIN(F$513)  /  TAN($A539)    ))  *  SIGN( SIN($A539))))</f>
        <v>#DIV/0!</v>
      </c>
      <c r="G539" s="195" t="e">
        <f aca="false">DEGREES( _xlfn.ACOT( _xlfn.COT(G$513)  *  COS(  _xlfn.ACOT( SIN(G$513)  /  TAN($A539)    ))  *  SIGN( SIN($A539))))</f>
        <v>#DIV/0!</v>
      </c>
      <c r="H539" s="195" t="e">
        <f aca="false">DEGREES( _xlfn.ACOT( _xlfn.COT(H$513)  *  COS(  _xlfn.ACOT( SIN(H$513)  /  TAN($A539)    ))  *  SIGN( SIN($A539))))</f>
        <v>#DIV/0!</v>
      </c>
      <c r="I539" s="195" t="e">
        <f aca="false">DEGREES( _xlfn.ACOT( _xlfn.COT(I$513)  *  COS(  _xlfn.ACOT( SIN(I$513)  /  TAN($A539)    ))  *  SIGN( SIN($A539))))</f>
        <v>#DIV/0!</v>
      </c>
      <c r="J539" s="195" t="e">
        <f aca="false">DEGREES( _xlfn.ACOT( _xlfn.COT(J$513)  *  COS(  _xlfn.ACOT( SIN(J$513)  /  TAN($A539)    ))  *  SIGN( SIN($A539))))</f>
        <v>#DIV/0!</v>
      </c>
      <c r="K539" s="195" t="e">
        <f aca="false">DEGREES( _xlfn.ACOT( _xlfn.COT(K$513)  *  COS(  _xlfn.ACOT( SIN(K$513)  /  TAN($A539)    ))  *  SIGN( SIN($A539))))</f>
        <v>#DIV/0!</v>
      </c>
      <c r="L539" s="195" t="e">
        <f aca="false">DEGREES( _xlfn.ACOT( _xlfn.COT(L$513)  *  COS(  _xlfn.ACOT( SIN(L$513)  /  TAN($A539)    ))  *  SIGN( SIN($A539))))</f>
        <v>#DIV/0!</v>
      </c>
      <c r="M539" s="195" t="e">
        <f aca="false">DEGREES( _xlfn.ACOT( _xlfn.COT(M$513)  *  COS(  _xlfn.ACOT( SIN(M$513)  /  TAN($A539)    ))  *  SIGN( SIN($A539))))</f>
        <v>#DIV/0!</v>
      </c>
      <c r="N539" s="195" t="e">
        <f aca="false">DEGREES( _xlfn.ACOT( _xlfn.COT(N$513)  *  COS(  _xlfn.ACOT( SIN(N$513)  /  TAN($A539)    ))  *  SIGN( SIN($A539))))</f>
        <v>#DIV/0!</v>
      </c>
      <c r="O539" s="195" t="e">
        <f aca="false">DEGREES( _xlfn.ACOT( _xlfn.COT(O$513)  *  COS(  _xlfn.ACOT( SIN(O$513)  /  TAN($A539)    ))  *  SIGN( SIN($A539))))</f>
        <v>#DIV/0!</v>
      </c>
      <c r="P539" s="195" t="e">
        <f aca="false">DEGREES( _xlfn.ACOT( _xlfn.COT(P$513)  *  COS(  _xlfn.ACOT( SIN(P$513)  /  TAN($A539)    ))  *  SIGN( SIN($A539))))</f>
        <v>#DIV/0!</v>
      </c>
      <c r="Q539" s="195" t="e">
        <f aca="false">DEGREES( _xlfn.ACOT( _xlfn.COT(Q$513)  *  COS(  _xlfn.ACOT( SIN(Q$513)  /  TAN($A539)    ))  *  SIGN( SIN($A539))))</f>
        <v>#DIV/0!</v>
      </c>
      <c r="R539" s="195" t="e">
        <f aca="false">DEGREES( _xlfn.ACOT( _xlfn.COT(R$513)  *  COS(  _xlfn.ACOT( SIN(R$513)  /  TAN($A539)    ))  *  SIGN( SIN($A539))))</f>
        <v>#DIV/0!</v>
      </c>
      <c r="S539" s="195" t="e">
        <f aca="false">DEGREES( _xlfn.ACOT( _xlfn.COT(S$513)  *  COS(  _xlfn.ACOT( SIN(S$513)  /  TAN($A539)    ))  *  SIGN( SIN($A539))))</f>
        <v>#DIV/0!</v>
      </c>
      <c r="T539" s="195" t="e">
        <f aca="false">DEGREES( _xlfn.ACOT( _xlfn.COT(T$513)  *  COS(  _xlfn.ACOT( SIN(T$513)  /  TAN($A539)    ))  *  SIGN( SIN($A539))))</f>
        <v>#DIV/0!</v>
      </c>
      <c r="U539" s="195" t="e">
        <f aca="false">DEGREES( _xlfn.ACOT( _xlfn.COT(U$513)  *  COS(  _xlfn.ACOT( SIN(U$513)  /  TAN($A539)    ))  *  SIGN( SIN($A539))))</f>
        <v>#DIV/0!</v>
      </c>
      <c r="V539" s="195" t="e">
        <f aca="false">DEGREES( _xlfn.ACOT( _xlfn.COT(V$513)  *  COS(  _xlfn.ACOT( SIN(V$513)  /  TAN($A539)    ))  *  SIGN( SIN($A539))))</f>
        <v>#DIV/0!</v>
      </c>
      <c r="W539" s="195" t="e">
        <f aca="false">DEGREES( _xlfn.ACOT( _xlfn.COT(W$513)  *  COS(  _xlfn.ACOT( SIN(W$513)  /  TAN($A539)    ))  *  SIGN( SIN($A539))))</f>
        <v>#DIV/0!</v>
      </c>
      <c r="X539" s="195" t="e">
        <f aca="false">DEGREES( _xlfn.ACOT( _xlfn.COT(X$513)  *  COS(  _xlfn.ACOT( SIN(X$513)  /  TAN($A539)    ))  *  SIGN( SIN($A539))))</f>
        <v>#DIV/0!</v>
      </c>
      <c r="Y539" s="195" t="e">
        <f aca="false">DEGREES( _xlfn.ACOT( _xlfn.COT(Y$513)  *  COS(  _xlfn.ACOT( SIN(Y$513)  /  TAN($A539)    ))  *  SIGN( SIN($A539))))</f>
        <v>#DIV/0!</v>
      </c>
      <c r="Z539" s="195" t="e">
        <f aca="false">DEGREES( _xlfn.ACOT( _xlfn.COT(Z$513)  *  COS(  _xlfn.ACOT( SIN(Z$513)  /  TAN($A539)    ))  *  SIGN( SIN($A539))))</f>
        <v>#DIV/0!</v>
      </c>
      <c r="AA539" s="195" t="e">
        <f aca="false">DEGREES( _xlfn.ACOT( _xlfn.COT(AA$513)  *  COS(  _xlfn.ACOT( SIN(AA$513)  /  TAN($A539)    ))  *  SIGN( SIN($A539))))</f>
        <v>#DIV/0!</v>
      </c>
      <c r="AB539" s="195" t="e">
        <f aca="false">DEGREES( _xlfn.ACOT( _xlfn.COT(AB$513)  *  COS(  _xlfn.ACOT( SIN(AB$513)  /  TAN($A539)    ))  *  SIGN( SIN($A539))))</f>
        <v>#DIV/0!</v>
      </c>
      <c r="AC539" s="195" t="e">
        <f aca="false">DEGREES( _xlfn.ACOT( _xlfn.COT(AC$513)  *  COS(  _xlfn.ACOT( SIN(AC$513)  /  TAN($A539)    ))  *  SIGN( SIN($A539))))</f>
        <v>#NUM!</v>
      </c>
      <c r="AD539" s="195" t="e">
        <f aca="false">DEGREES( _xlfn.ACOT( _xlfn.COT(AD$513)  *  COS(  _xlfn.ACOT( SIN(AD$513)  /  TAN($A539)    ))  *  SIGN( SIN($A539))))</f>
        <v>#NUM!</v>
      </c>
      <c r="AE539" s="1"/>
      <c r="AF539" s="1"/>
      <c r="AG539" s="1"/>
      <c r="AH539" s="1"/>
      <c r="AI539" s="1"/>
      <c r="AJ539" s="1"/>
      <c r="AK539" s="1"/>
      <c r="AL539" s="1"/>
    </row>
    <row r="540" customFormat="false" ht="12.75" hidden="false" customHeight="true" outlineLevel="0" collapsed="false">
      <c r="A540" s="192" t="n">
        <f aca="false">RADIANS(MOD(B540-180,-360)+180)</f>
        <v>0</v>
      </c>
      <c r="B540" s="184" t="n">
        <v>0</v>
      </c>
      <c r="C540" s="1"/>
      <c r="D540" s="195" t="e">
        <f aca="false">DEGREES( _xlfn.ACOT( _xlfn.COT(D$513)  *  COS(  _xlfn.ACOT( SIN(D$513)  /  TAN($A540)    ))  *  SIGN( SIN($A540))))</f>
        <v>#DIV/0!</v>
      </c>
      <c r="E540" s="195" t="e">
        <f aca="false">DEGREES( _xlfn.ACOT( _xlfn.COT(E$513)  *  COS(  _xlfn.ACOT( SIN(E$513)  /  TAN($A540)    ))  *  SIGN( SIN($A540))))</f>
        <v>#DIV/0!</v>
      </c>
      <c r="F540" s="195" t="e">
        <f aca="false">DEGREES( _xlfn.ACOT( _xlfn.COT(F$513)  *  COS(  _xlfn.ACOT( SIN(F$513)  /  TAN($A540)    ))  *  SIGN( SIN($A540))))</f>
        <v>#DIV/0!</v>
      </c>
      <c r="G540" s="195" t="e">
        <f aca="false">DEGREES( _xlfn.ACOT( _xlfn.COT(G$513)  *  COS(  _xlfn.ACOT( SIN(G$513)  /  TAN($A540)    ))  *  SIGN( SIN($A540))))</f>
        <v>#DIV/0!</v>
      </c>
      <c r="H540" s="195" t="e">
        <f aca="false">DEGREES( _xlfn.ACOT( _xlfn.COT(H$513)  *  COS(  _xlfn.ACOT( SIN(H$513)  /  TAN($A540)    ))  *  SIGN( SIN($A540))))</f>
        <v>#DIV/0!</v>
      </c>
      <c r="I540" s="195" t="e">
        <f aca="false">DEGREES( _xlfn.ACOT( _xlfn.COT(I$513)  *  COS(  _xlfn.ACOT( SIN(I$513)  /  TAN($A540)    ))  *  SIGN( SIN($A540))))</f>
        <v>#DIV/0!</v>
      </c>
      <c r="J540" s="195" t="e">
        <f aca="false">DEGREES( _xlfn.ACOT( _xlfn.COT(J$513)  *  COS(  _xlfn.ACOT( SIN(J$513)  /  TAN($A540)    ))  *  SIGN( SIN($A540))))</f>
        <v>#DIV/0!</v>
      </c>
      <c r="K540" s="195" t="e">
        <f aca="false">DEGREES( _xlfn.ACOT( _xlfn.COT(K$513)  *  COS(  _xlfn.ACOT( SIN(K$513)  /  TAN($A540)    ))  *  SIGN( SIN($A540))))</f>
        <v>#DIV/0!</v>
      </c>
      <c r="L540" s="195" t="e">
        <f aca="false">DEGREES( _xlfn.ACOT( _xlfn.COT(L$513)  *  COS(  _xlfn.ACOT( SIN(L$513)  /  TAN($A540)    ))  *  SIGN( SIN($A540))))</f>
        <v>#DIV/0!</v>
      </c>
      <c r="M540" s="195" t="e">
        <f aca="false">DEGREES( _xlfn.ACOT( _xlfn.COT(M$513)  *  COS(  _xlfn.ACOT( SIN(M$513)  /  TAN($A540)    ))  *  SIGN( SIN($A540))))</f>
        <v>#DIV/0!</v>
      </c>
      <c r="N540" s="195" t="e">
        <f aca="false">DEGREES( _xlfn.ACOT( _xlfn.COT(N$513)  *  COS(  _xlfn.ACOT( SIN(N$513)  /  TAN($A540)    ))  *  SIGN( SIN($A540))))</f>
        <v>#DIV/0!</v>
      </c>
      <c r="O540" s="195" t="e">
        <f aca="false">DEGREES( _xlfn.ACOT( _xlfn.COT(O$513)  *  COS(  _xlfn.ACOT( SIN(O$513)  /  TAN($A540)    ))  *  SIGN( SIN($A540))))</f>
        <v>#DIV/0!</v>
      </c>
      <c r="P540" s="195" t="e">
        <f aca="false">DEGREES( _xlfn.ACOT( _xlfn.COT(P$513)  *  COS(  _xlfn.ACOT( SIN(P$513)  /  TAN($A540)    ))  *  SIGN( SIN($A540))))</f>
        <v>#DIV/0!</v>
      </c>
      <c r="Q540" s="195" t="e">
        <f aca="false">DEGREES( _xlfn.ACOT( _xlfn.COT(Q$513)  *  COS(  _xlfn.ACOT( SIN(Q$513)  /  TAN($A540)    ))  *  SIGN( SIN($A540))))</f>
        <v>#DIV/0!</v>
      </c>
      <c r="R540" s="195" t="e">
        <f aca="false">DEGREES( _xlfn.ACOT( _xlfn.COT(R$513)  *  COS(  _xlfn.ACOT( SIN(R$513)  /  TAN($A540)    ))  *  SIGN( SIN($A540))))</f>
        <v>#DIV/0!</v>
      </c>
      <c r="S540" s="195" t="e">
        <f aca="false">DEGREES( _xlfn.ACOT( _xlfn.COT(S$513)  *  COS(  _xlfn.ACOT( SIN(S$513)  /  TAN($A540)    ))  *  SIGN( SIN($A540))))</f>
        <v>#DIV/0!</v>
      </c>
      <c r="T540" s="195" t="e">
        <f aca="false">DEGREES( _xlfn.ACOT( _xlfn.COT(T$513)  *  COS(  _xlfn.ACOT( SIN(T$513)  /  TAN($A540)    ))  *  SIGN( SIN($A540))))</f>
        <v>#DIV/0!</v>
      </c>
      <c r="U540" s="195" t="e">
        <f aca="false">DEGREES( _xlfn.ACOT( _xlfn.COT(U$513)  *  COS(  _xlfn.ACOT( SIN(U$513)  /  TAN($A540)    ))  *  SIGN( SIN($A540))))</f>
        <v>#DIV/0!</v>
      </c>
      <c r="V540" s="195" t="e">
        <f aca="false">DEGREES( _xlfn.ACOT( _xlfn.COT(V$513)  *  COS(  _xlfn.ACOT( SIN(V$513)  /  TAN($A540)    ))  *  SIGN( SIN($A540))))</f>
        <v>#DIV/0!</v>
      </c>
      <c r="W540" s="195" t="e">
        <f aca="false">DEGREES( _xlfn.ACOT( _xlfn.COT(W$513)  *  COS(  _xlfn.ACOT( SIN(W$513)  /  TAN($A540)    ))  *  SIGN( SIN($A540))))</f>
        <v>#DIV/0!</v>
      </c>
      <c r="X540" s="195" t="e">
        <f aca="false">DEGREES( _xlfn.ACOT( _xlfn.COT(X$513)  *  COS(  _xlfn.ACOT( SIN(X$513)  /  TAN($A540)    ))  *  SIGN( SIN($A540))))</f>
        <v>#DIV/0!</v>
      </c>
      <c r="Y540" s="195" t="e">
        <f aca="false">DEGREES( _xlfn.ACOT( _xlfn.COT(Y$513)  *  COS(  _xlfn.ACOT( SIN(Y$513)  /  TAN($A540)    ))  *  SIGN( SIN($A540))))</f>
        <v>#DIV/0!</v>
      </c>
      <c r="Z540" s="195" t="e">
        <f aca="false">DEGREES( _xlfn.ACOT( _xlfn.COT(Z$513)  *  COS(  _xlfn.ACOT( SIN(Z$513)  /  TAN($A540)    ))  *  SIGN( SIN($A540))))</f>
        <v>#DIV/0!</v>
      </c>
      <c r="AA540" s="195" t="e">
        <f aca="false">DEGREES( _xlfn.ACOT( _xlfn.COT(AA$513)  *  COS(  _xlfn.ACOT( SIN(AA$513)  /  TAN($A540)    ))  *  SIGN( SIN($A540))))</f>
        <v>#DIV/0!</v>
      </c>
      <c r="AB540" s="195" t="e">
        <f aca="false">DEGREES( _xlfn.ACOT( _xlfn.COT(AB$513)  *  COS(  _xlfn.ACOT( SIN(AB$513)  /  TAN($A540)    ))  *  SIGN( SIN($A540))))</f>
        <v>#DIV/0!</v>
      </c>
      <c r="AC540" s="195" t="e">
        <f aca="false">DEGREES( _xlfn.ACOT( _xlfn.COT(AC$513)  *  COS(  _xlfn.ACOT( SIN(AC$513)  /  TAN($A540)    ))  *  SIGN( SIN($A540))))</f>
        <v>#NUM!</v>
      </c>
      <c r="AD540" s="195" t="e">
        <f aca="false">DEGREES( _xlfn.ACOT( _xlfn.COT(AD$513)  *  COS(  _xlfn.ACOT( SIN(AD$513)  /  TAN($A540)    ))  *  SIGN( SIN($A540))))</f>
        <v>#NUM!</v>
      </c>
      <c r="AE540" s="1"/>
      <c r="AF540" s="1"/>
      <c r="AG540" s="1"/>
      <c r="AH540" s="1"/>
      <c r="AI540" s="1"/>
      <c r="AJ540" s="1"/>
      <c r="AK540" s="1"/>
      <c r="AL540" s="1"/>
    </row>
    <row r="541" customFormat="false" ht="12.75" hidden="false" customHeight="true" outlineLevel="0" collapsed="false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customFormat="false" ht="12.75" hidden="false" customHeight="true" outlineLevel="0" collapsed="false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customFormat="false" ht="12.75" hidden="false" customHeight="true" outlineLevel="0" collapsed="false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customFormat="false" ht="12.75" hidden="false" customHeight="true" outlineLevel="0" collapsed="false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customFormat="false" ht="12.75" hidden="false" customHeight="true" outlineLevel="0" collapsed="false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customFormat="false" ht="12.75" hidden="false" customHeight="true" outlineLevel="0" collapsed="false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customFormat="false" ht="12.75" hidden="false" customHeight="true" outlineLevel="0" collapsed="false">
      <c r="A547" s="1"/>
      <c r="B547" s="1"/>
      <c r="C547" s="1"/>
      <c r="D547" s="1"/>
      <c r="E547" s="1"/>
      <c r="F547" s="1"/>
      <c r="G547" s="1"/>
      <c r="H547" s="117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customFormat="false" ht="12.75" hidden="false" customHeight="true" outlineLevel="0" collapsed="false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customFormat="false" ht="12.75" hidden="false" customHeight="true" outlineLevel="0" collapsed="false">
      <c r="A549" s="1"/>
      <c r="B549" s="1"/>
      <c r="C549" s="1"/>
      <c r="D549" s="1"/>
      <c r="E549" s="1"/>
      <c r="F549" s="1"/>
      <c r="G549" s="224"/>
      <c r="H549" s="1"/>
      <c r="I549" s="11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customFormat="false" ht="12.75" hidden="false" customHeight="true" outlineLevel="0" collapsed="false">
      <c r="A550" s="1"/>
      <c r="B550" s="1"/>
      <c r="C550" s="1"/>
      <c r="D550" s="1"/>
      <c r="E550" s="1"/>
      <c r="F550" s="1"/>
      <c r="G550" s="224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customFormat="false" ht="12.75" hidden="false" customHeight="true" outlineLevel="0" collapsed="false">
      <c r="A551" s="1"/>
      <c r="B551" s="163"/>
      <c r="C551" s="1"/>
      <c r="D551" s="1"/>
      <c r="E551" s="1"/>
      <c r="F551" s="1"/>
      <c r="G551" s="1"/>
      <c r="H551" s="53"/>
      <c r="I551" s="53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customFormat="false" ht="12.75" hidden="false" customHeight="true" outlineLevel="0" collapsed="false">
      <c r="A552" s="163"/>
      <c r="B552" s="1"/>
      <c r="C552" s="1"/>
      <c r="D552" s="1"/>
      <c r="E552" s="1"/>
      <c r="F552" s="1"/>
      <c r="G552" s="1"/>
      <c r="H552" s="1"/>
      <c r="I552" s="53"/>
      <c r="J552" s="1"/>
      <c r="K552" s="1"/>
      <c r="L552" s="1"/>
      <c r="M552" s="1"/>
      <c r="N552" s="53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customFormat="false" ht="12.75" hidden="false" customHeight="true" outlineLevel="0" collapsed="false">
      <c r="A553" s="1"/>
      <c r="B553" s="1"/>
      <c r="C553" s="1"/>
      <c r="D553" s="1"/>
      <c r="E553" s="1"/>
      <c r="F553" s="1"/>
      <c r="G553" s="164"/>
      <c r="H553" s="1"/>
      <c r="I553" s="53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customFormat="false" ht="23.8" hidden="false" customHeight="true" outlineLevel="0" collapsed="false">
      <c r="A554" s="1"/>
      <c r="B554" s="1"/>
      <c r="C554" s="265" t="s">
        <v>271</v>
      </c>
      <c r="D554" s="266"/>
      <c r="E554" s="169"/>
      <c r="F554" s="1"/>
      <c r="G554" s="1"/>
      <c r="H554" s="1"/>
      <c r="I554" s="53"/>
      <c r="J554" s="117"/>
      <c r="K554" s="16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customFormat="false" ht="23.8" hidden="false" customHeight="true" outlineLevel="0" collapsed="false">
      <c r="A555" s="1"/>
      <c r="B555" s="1"/>
      <c r="C555" s="170"/>
      <c r="D555" s="170"/>
      <c r="E555" s="170"/>
      <c r="F555" s="171"/>
      <c r="G555" s="171"/>
      <c r="H555" s="171"/>
      <c r="I555" s="171"/>
      <c r="J555" s="171"/>
      <c r="K555" s="171"/>
      <c r="L555" s="170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customFormat="false" ht="23.8" hidden="false" customHeight="true" outlineLevel="0" collapsed="false">
      <c r="A556" s="172" t="s">
        <v>163</v>
      </c>
      <c r="B556" s="1"/>
      <c r="C556" s="173"/>
      <c r="D556" s="170"/>
      <c r="E556" s="174" t="s">
        <v>164</v>
      </c>
      <c r="F556" s="171"/>
      <c r="G556" s="171"/>
      <c r="H556" s="175" t="s">
        <v>165</v>
      </c>
      <c r="I556" s="170"/>
      <c r="J556" s="170"/>
      <c r="K556" s="170"/>
      <c r="L556" s="170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customFormat="false" ht="23.8" hidden="false" customHeight="true" outlineLevel="0" collapsed="false">
      <c r="A557" s="172" t="s">
        <v>166</v>
      </c>
      <c r="B557" s="1"/>
      <c r="C557" s="173"/>
      <c r="D557" s="173"/>
      <c r="E557" s="173"/>
      <c r="F557" s="170"/>
      <c r="G557" s="170"/>
      <c r="H557" s="170"/>
      <c r="I557" s="170"/>
      <c r="J557" s="170"/>
      <c r="K557" s="170"/>
      <c r="L557" s="170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customFormat="false" ht="23.8" hidden="false" customHeight="true" outlineLevel="0" collapsed="false">
      <c r="A558" s="1"/>
      <c r="B558" s="1"/>
      <c r="C558" s="170"/>
      <c r="D558" s="173"/>
      <c r="E558" s="173"/>
      <c r="F558" s="177" t="s">
        <v>272</v>
      </c>
      <c r="G558" s="170"/>
      <c r="H558" s="170"/>
      <c r="I558" s="170"/>
      <c r="J558" s="170"/>
      <c r="K558" s="170"/>
      <c r="L558" s="170"/>
      <c r="M558" s="1"/>
      <c r="N558" s="179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customFormat="false" ht="23.8" hidden="false" customHeight="true" outlineLevel="0" collapsed="false">
      <c r="A559" s="1"/>
      <c r="B559" s="1"/>
      <c r="C559" s="170"/>
      <c r="D559" s="170"/>
      <c r="E559" s="170"/>
      <c r="F559" s="170"/>
      <c r="G559" s="170"/>
      <c r="H559" s="170"/>
      <c r="I559" s="170"/>
      <c r="J559" s="170"/>
      <c r="K559" s="170"/>
      <c r="L559" s="170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customFormat="false" ht="23.8" hidden="false" customHeight="true" outlineLevel="0" collapsed="false">
      <c r="A560" s="1"/>
      <c r="B560" s="1"/>
      <c r="C560" s="170"/>
      <c r="D560" s="173"/>
      <c r="E560" s="170"/>
      <c r="F560" s="170"/>
      <c r="G560" s="170"/>
      <c r="H560" s="170"/>
      <c r="I560" s="170"/>
      <c r="J560" s="170"/>
      <c r="K560" s="170"/>
      <c r="L560" s="170"/>
      <c r="M560" s="1"/>
      <c r="N560" s="18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customFormat="false" ht="19.3" hidden="false" customHeight="true" outlineLevel="0" collapsed="false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267" t="n">
        <v>195</v>
      </c>
      <c r="R561" s="267" t="n">
        <v>210</v>
      </c>
      <c r="S561" s="267" t="n">
        <v>225</v>
      </c>
      <c r="T561" s="267" t="n">
        <v>240</v>
      </c>
      <c r="U561" s="267" t="n">
        <v>255</v>
      </c>
      <c r="V561" s="267" t="n">
        <v>270</v>
      </c>
      <c r="W561" s="267" t="n">
        <v>285</v>
      </c>
      <c r="X561" s="267" t="n">
        <v>300</v>
      </c>
      <c r="Y561" s="267" t="n">
        <v>315</v>
      </c>
      <c r="Z561" s="267" t="n">
        <v>330</v>
      </c>
      <c r="AA561" s="267" t="n">
        <v>345</v>
      </c>
      <c r="AB561" s="267" t="n">
        <v>359.99</v>
      </c>
      <c r="AC561" s="188" t="n">
        <v>360</v>
      </c>
      <c r="AD561" s="268" t="s">
        <v>169</v>
      </c>
      <c r="AE561" s="1"/>
      <c r="AF561" s="1"/>
      <c r="AG561" s="1"/>
      <c r="AH561" s="1"/>
      <c r="AI561" s="1"/>
      <c r="AJ561" s="1"/>
      <c r="AK561" s="1"/>
      <c r="AL561" s="1"/>
    </row>
    <row r="562" customFormat="false" ht="19.3" hidden="false" customHeight="true" outlineLevel="0" collapsed="false">
      <c r="A562" s="1"/>
      <c r="B562" s="186"/>
      <c r="C562" s="187" t="s">
        <v>171</v>
      </c>
      <c r="D562" s="188" t="n">
        <v>0.001</v>
      </c>
      <c r="E562" s="267" t="n">
        <v>15</v>
      </c>
      <c r="F562" s="267" t="n">
        <v>30</v>
      </c>
      <c r="G562" s="267" t="n">
        <v>45</v>
      </c>
      <c r="H562" s="267" t="n">
        <v>60</v>
      </c>
      <c r="I562" s="267" t="n">
        <v>75</v>
      </c>
      <c r="J562" s="267" t="n">
        <v>90</v>
      </c>
      <c r="K562" s="267" t="n">
        <v>105</v>
      </c>
      <c r="L562" s="267" t="n">
        <v>120</v>
      </c>
      <c r="M562" s="267" t="n">
        <v>135</v>
      </c>
      <c r="N562" s="267" t="n">
        <v>150</v>
      </c>
      <c r="O562" s="267" t="n">
        <v>165</v>
      </c>
      <c r="P562" s="267" t="n">
        <v>180</v>
      </c>
      <c r="Q562" s="269" t="n">
        <v>-165</v>
      </c>
      <c r="R562" s="269" t="n">
        <v>-150</v>
      </c>
      <c r="S562" s="269" t="n">
        <v>-135</v>
      </c>
      <c r="T562" s="269" t="n">
        <v>-120</v>
      </c>
      <c r="U562" s="269" t="n">
        <v>-105</v>
      </c>
      <c r="V562" s="269" t="n">
        <v>-90</v>
      </c>
      <c r="W562" s="269" t="n">
        <v>-75</v>
      </c>
      <c r="X562" s="269" t="n">
        <v>-60</v>
      </c>
      <c r="Y562" s="269" t="n">
        <v>-45</v>
      </c>
      <c r="Z562" s="269" t="n">
        <v>-30</v>
      </c>
      <c r="AA562" s="269" t="n">
        <v>-15</v>
      </c>
      <c r="AB562" s="267" t="n">
        <v>-0.01</v>
      </c>
      <c r="AC562" s="188" t="n">
        <v>0</v>
      </c>
      <c r="AD562" s="188" t="n">
        <v>0</v>
      </c>
      <c r="AE562" s="1"/>
      <c r="AF562" s="1"/>
      <c r="AG562" s="1"/>
      <c r="AH562" s="1"/>
      <c r="AI562" s="1"/>
      <c r="AJ562" s="1"/>
      <c r="AK562" s="1"/>
      <c r="AL562" s="1"/>
    </row>
    <row r="563" customFormat="false" ht="19.3" hidden="false" customHeight="true" outlineLevel="0" collapsed="false">
      <c r="A563" s="190"/>
      <c r="B563" s="191" t="s">
        <v>173</v>
      </c>
      <c r="C563" s="1"/>
      <c r="D563" s="192" t="n">
        <f aca="false">RADIANS(MOD(D562-180,-360)+180)</f>
        <v>1.74532925200266E-005</v>
      </c>
      <c r="E563" s="192" t="n">
        <f aca="false">RADIANS(MOD(E562-180,-360)+180)</f>
        <v>0.261799387799149</v>
      </c>
      <c r="F563" s="192" t="n">
        <f aca="false">RADIANS(MOD(F562-180,-360)+180)</f>
        <v>0.523598775598299</v>
      </c>
      <c r="G563" s="192" t="n">
        <f aca="false">RADIANS(MOD(G562-180,-360)+180)</f>
        <v>0.785398163397448</v>
      </c>
      <c r="H563" s="192" t="n">
        <f aca="false">RADIANS(MOD(H562-180,-360)+180)</f>
        <v>1.0471975511966</v>
      </c>
      <c r="I563" s="192" t="n">
        <f aca="false">RADIANS(MOD(I562-180,-360)+180)</f>
        <v>1.30899693899575</v>
      </c>
      <c r="J563" s="192" t="n">
        <f aca="false">RADIANS(MOD(J562-180,-360)+180)</f>
        <v>1.5707963267949</v>
      </c>
      <c r="K563" s="192" t="n">
        <f aca="false">RADIANS(MOD(K562-180,-360)+180)</f>
        <v>1.83259571459405</v>
      </c>
      <c r="L563" s="192" t="n">
        <f aca="false">RADIANS(MOD(L562-180,-360)+180)</f>
        <v>2.0943951023932</v>
      </c>
      <c r="M563" s="192" t="n">
        <f aca="false">RADIANS(MOD(M562-180,-360)+180)</f>
        <v>2.35619449019234</v>
      </c>
      <c r="N563" s="192" t="n">
        <f aca="false">RADIANS(MOD(N562-180,-360)+180)</f>
        <v>2.61799387799149</v>
      </c>
      <c r="O563" s="192" t="n">
        <f aca="false">RADIANS(MOD(O562-180,-360)+180)</f>
        <v>2.87979326579064</v>
      </c>
      <c r="P563" s="192" t="n">
        <f aca="false">RADIANS(MOD(P562-180,-360)+180)</f>
        <v>3.14159265358979</v>
      </c>
      <c r="Q563" s="193" t="n">
        <f aca="false">RADIANS(MOD(Q562-180,-360)+180)</f>
        <v>-2.87979326579064</v>
      </c>
      <c r="R563" s="193" t="n">
        <f aca="false">RADIANS(MOD(R562-180,-360)+180)</f>
        <v>-2.61799387799149</v>
      </c>
      <c r="S563" s="193" t="n">
        <f aca="false">RADIANS(MOD(S562-180,-360)+180)</f>
        <v>-2.35619449019234</v>
      </c>
      <c r="T563" s="193" t="n">
        <f aca="false">RADIANS(MOD(T562-180,-360)+180)</f>
        <v>-2.0943951023932</v>
      </c>
      <c r="U563" s="193" t="n">
        <f aca="false">RADIANS(MOD(U562-180,-360)+180)</f>
        <v>-1.83259571459405</v>
      </c>
      <c r="V563" s="193" t="n">
        <f aca="false">RADIANS(MOD(V562-180,-360)+180)</f>
        <v>-1.5707963267949</v>
      </c>
      <c r="W563" s="193" t="n">
        <f aca="false">RADIANS(MOD(W562-180,-360)+180)</f>
        <v>-1.30899693899575</v>
      </c>
      <c r="X563" s="193" t="n">
        <f aca="false">RADIANS(MOD(X562-180,-360)+180)</f>
        <v>-1.0471975511966</v>
      </c>
      <c r="Y563" s="193" t="n">
        <f aca="false">RADIANS(MOD(Y562-180,-360)+180)</f>
        <v>-0.785398163397448</v>
      </c>
      <c r="Z563" s="193" t="n">
        <f aca="false">RADIANS(MOD(Z562-180,-360)+180)</f>
        <v>-0.523598775598299</v>
      </c>
      <c r="AA563" s="193" t="n">
        <f aca="false">RADIANS(MOD(AA562-180,-360)+180)</f>
        <v>-0.261799387799149</v>
      </c>
      <c r="AB563" s="193" t="n">
        <f aca="false">RADIANS(MOD(AB562-180,-360)+180)</f>
        <v>-0.000174532925199274</v>
      </c>
      <c r="AC563" s="193" t="n">
        <f aca="false">RADIANS(MOD(AC562-180,-360)+180)</f>
        <v>0</v>
      </c>
      <c r="AD563" s="193" t="n">
        <f aca="false">RADIANS(MOD(AD562-180,-360)+180)</f>
        <v>0</v>
      </c>
      <c r="AE563" s="1"/>
      <c r="AF563" s="1"/>
      <c r="AG563" s="1"/>
      <c r="AH563" s="1"/>
      <c r="AI563" s="1"/>
      <c r="AJ563" s="1"/>
      <c r="AK563" s="1"/>
      <c r="AL563" s="1"/>
    </row>
    <row r="564" customFormat="false" ht="12.75" hidden="false" customHeight="true" outlineLevel="0" collapsed="false">
      <c r="A564" s="192" t="n">
        <f aca="false">RADIANS(MOD(B564-180,-360)+180)</f>
        <v>1.74532925200266E-005</v>
      </c>
      <c r="B564" s="188" t="n">
        <v>0.001</v>
      </c>
      <c r="C564" s="1"/>
      <c r="D564" s="270" t="n">
        <f aca="false">DEGREES( ACOS( COS(D$563)  * ( 1 /  _xlfn.SEC($A564))))</f>
        <v>0.00141421387257367</v>
      </c>
      <c r="E564" s="270" t="n">
        <f aca="false">DEGREES( ACOS( COS(E$563)  * ( 1 /  _xlfn.SEC($A564))))</f>
        <v>15.0000000325683</v>
      </c>
      <c r="F564" s="270" t="n">
        <f aca="false">DEGREES( ACOS( COS(F$563)  * ( 1 /  _xlfn.SEC($A564))))</f>
        <v>30.000000015115</v>
      </c>
      <c r="G564" s="270" t="n">
        <f aca="false">DEGREES( ACOS( COS(G$563)  * ( 1 /  _xlfn.SEC($A564))))</f>
        <v>45.0000000087267</v>
      </c>
      <c r="H564" s="270" t="n">
        <f aca="false">DEGREES( ACOS( COS(H$563)  * ( 1 /  _xlfn.SEC($A564))))</f>
        <v>60.0000000050383</v>
      </c>
      <c r="I564" s="270" t="n">
        <f aca="false">DEGREES( ACOS( COS(I$563)  * ( 1 /  _xlfn.SEC($A564))))</f>
        <v>75.0000000023383</v>
      </c>
      <c r="J564" s="270" t="n">
        <f aca="false">DEGREES( ACOS( COS(J$563)  * ( 1 /  _xlfn.SEC($A564))))</f>
        <v>90</v>
      </c>
      <c r="K564" s="270" t="n">
        <f aca="false">DEGREES( ACOS( COS(K$563)  * ( 1 /  _xlfn.SEC($A564))))</f>
        <v>104.999999997662</v>
      </c>
      <c r="L564" s="270" t="n">
        <f aca="false">DEGREES( ACOS( COS(L$563)  * ( 1 /  _xlfn.SEC($A564))))</f>
        <v>119.999999994962</v>
      </c>
      <c r="M564" s="270" t="n">
        <f aca="false">DEGREES( ACOS( COS(M$563)  * ( 1 /  _xlfn.SEC($A564))))</f>
        <v>134.999999991273</v>
      </c>
      <c r="N564" s="270" t="n">
        <f aca="false">DEGREES( ACOS( COS(N$563)  * ( 1 /  _xlfn.SEC($A564))))</f>
        <v>149.999999984885</v>
      </c>
      <c r="O564" s="270" t="n">
        <f aca="false">DEGREES( ACOS( COS(O$563)  * ( 1 /  _xlfn.SEC($A564))))</f>
        <v>164.999999967432</v>
      </c>
      <c r="P564" s="270" t="n">
        <f aca="false">DEGREES( ACOS( COS(P$563)  * ( 1 /  _xlfn.SEC($A564))))</f>
        <v>179.998999999598</v>
      </c>
      <c r="Q564" s="270" t="n">
        <f aca="false">DEGREES( ACOS( COS(Q$563)  * ( 1 /  _xlfn.SEC($A564))))</f>
        <v>164.999999967432</v>
      </c>
      <c r="R564" s="270" t="n">
        <f aca="false">DEGREES( ACOS( COS(R$563)  * ( 1 /  _xlfn.SEC($A564))))</f>
        <v>149.999999984885</v>
      </c>
      <c r="S564" s="270" t="n">
        <f aca="false">DEGREES( ACOS( COS(S$563)  * ( 1 /  _xlfn.SEC($A564))))</f>
        <v>134.999999991273</v>
      </c>
      <c r="T564" s="270" t="n">
        <f aca="false">DEGREES( ACOS( COS(T$563)  * ( 1 /  _xlfn.SEC($A564))))</f>
        <v>119.999999994962</v>
      </c>
      <c r="U564" s="270" t="n">
        <f aca="false">DEGREES( ACOS( COS(U$563)  * ( 1 /  _xlfn.SEC($A564))))</f>
        <v>104.999999997662</v>
      </c>
      <c r="V564" s="270" t="n">
        <f aca="false">DEGREES( ACOS( COS(V$563)  * ( 1 /  _xlfn.SEC($A564))))</f>
        <v>90</v>
      </c>
      <c r="W564" s="270" t="n">
        <f aca="false">DEGREES( ACOS( COS(W$563)  * ( 1 /  _xlfn.SEC($A564))))</f>
        <v>75.0000000023383</v>
      </c>
      <c r="X564" s="270" t="n">
        <f aca="false">DEGREES( ACOS( COS(X$563)  * ( 1 /  _xlfn.SEC($A564))))</f>
        <v>60.0000000050383</v>
      </c>
      <c r="Y564" s="270" t="n">
        <f aca="false">DEGREES( ACOS( COS(Y$563)  * ( 1 /  _xlfn.SEC($A564))))</f>
        <v>45.0000000087267</v>
      </c>
      <c r="Z564" s="270" t="n">
        <f aca="false">DEGREES( ACOS( COS(Z$563)  * ( 1 /  _xlfn.SEC($A564))))</f>
        <v>30.000000015115</v>
      </c>
      <c r="AA564" s="270" t="n">
        <f aca="false">DEGREES( ACOS( COS(AA$563)  * ( 1 /  _xlfn.SEC($A564))))</f>
        <v>15.0000000325683</v>
      </c>
      <c r="AB564" s="270" t="n">
        <f aca="false">DEGREES( ACOS( COS(AB$563)  * ( 1 /  _xlfn.SEC($A564))))</f>
        <v>0.01004987564407</v>
      </c>
      <c r="AC564" s="195" t="n">
        <f aca="false">DEGREES( ACOS( COS(AC$563)  * ( 1 /  _xlfn.SEC($A564))))</f>
        <v>0.00100000040156454</v>
      </c>
      <c r="AD564" s="195" t="n">
        <f aca="false">DEGREES( ACOS( COS(AD$563)  * ( 1 /  _xlfn.SEC($A564))))</f>
        <v>0.00100000040156454</v>
      </c>
      <c r="AE564" s="1"/>
      <c r="AF564" s="1"/>
      <c r="AG564" s="1"/>
      <c r="AH564" s="1"/>
      <c r="AI564" s="1"/>
      <c r="AJ564" s="1"/>
      <c r="AK564" s="1"/>
      <c r="AL564" s="1"/>
    </row>
    <row r="565" customFormat="false" ht="12.8" hidden="false" customHeight="false" outlineLevel="0" collapsed="false">
      <c r="A565" s="192" t="n">
        <f aca="false">RADIANS(MOD(B565-180,-360)+180)</f>
        <v>0.261799387799149</v>
      </c>
      <c r="B565" s="182" t="n">
        <v>15</v>
      </c>
      <c r="C565" s="1"/>
      <c r="D565" s="270" t="n">
        <f aca="false">DEGREES( ACOS( COS(D$563)  * ( 1 /  _xlfn.SEC($A565))))</f>
        <v>15.0000000325683</v>
      </c>
      <c r="E565" s="210" t="n">
        <f aca="false">DEGREES( ACOS( COS(E$563)  * ( 1 /  _xlfn.SEC($A565))))</f>
        <v>21.0905811789991</v>
      </c>
      <c r="F565" s="210" t="n">
        <f aca="false">DEGREES( ACOS( COS(F$563)  * ( 1 /  _xlfn.SEC($A565))))</f>
        <v>33.2259422032876</v>
      </c>
      <c r="G565" s="210" t="n">
        <f aca="false">DEGREES( ACOS( COS(G$563)  * ( 1 /  _xlfn.SEC($A565))))</f>
        <v>46.9204828581291</v>
      </c>
      <c r="H565" s="210" t="n">
        <f aca="false">DEGREES( ACOS( COS(H$563)  * ( 1 /  _xlfn.SEC($A565))))</f>
        <v>61.1209059825724</v>
      </c>
      <c r="I565" s="210" t="n">
        <f aca="false">DEGREES( ACOS( COS(I$563)  * ( 1 /  _xlfn.SEC($A565))))</f>
        <v>75.5224878140701</v>
      </c>
      <c r="J565" s="270" t="n">
        <f aca="false">DEGREES( ACOS( COS(J$563)  * ( 1 /  _xlfn.SEC($A565))))</f>
        <v>90</v>
      </c>
      <c r="K565" s="210" t="n">
        <f aca="false">DEGREES( ACOS( COS(K$563)  * ( 1 /  _xlfn.SEC($A565))))</f>
        <v>104.47751218593</v>
      </c>
      <c r="L565" s="210" t="n">
        <f aca="false">DEGREES( ACOS( COS(L$563)  * ( 1 /  _xlfn.SEC($A565))))</f>
        <v>118.879094017428</v>
      </c>
      <c r="M565" s="210" t="n">
        <f aca="false">DEGREES( ACOS( COS(M$563)  * ( 1 /  _xlfn.SEC($A565))))</f>
        <v>133.079517141871</v>
      </c>
      <c r="N565" s="210" t="n">
        <f aca="false">DEGREES( ACOS( COS(N$563)  * ( 1 /  _xlfn.SEC($A565))))</f>
        <v>146.774057796712</v>
      </c>
      <c r="O565" s="210" t="n">
        <f aca="false">DEGREES( ACOS( COS(O$563)  * ( 1 /  _xlfn.SEC($A565))))</f>
        <v>158.909418821001</v>
      </c>
      <c r="P565" s="270" t="n">
        <f aca="false">DEGREES( ACOS( COS(P$563)  * ( 1 /  _xlfn.SEC($A565))))</f>
        <v>165</v>
      </c>
      <c r="Q565" s="210" t="n">
        <f aca="false">DEGREES( ACOS( COS(Q$563)  * ( 1 /  _xlfn.SEC($A565))))</f>
        <v>158.909418821001</v>
      </c>
      <c r="R565" s="210" t="n">
        <f aca="false">DEGREES( ACOS( COS(R$563)  * ( 1 /  _xlfn.SEC($A565))))</f>
        <v>146.774057796712</v>
      </c>
      <c r="S565" s="210" t="n">
        <f aca="false">DEGREES( ACOS( COS(S$563)  * ( 1 /  _xlfn.SEC($A565))))</f>
        <v>133.079517141871</v>
      </c>
      <c r="T565" s="210" t="n">
        <f aca="false">DEGREES( ACOS( COS(T$563)  * ( 1 /  _xlfn.SEC($A565))))</f>
        <v>118.879094017428</v>
      </c>
      <c r="U565" s="210" t="n">
        <f aca="false">DEGREES( ACOS( COS(U$563)  * ( 1 /  _xlfn.SEC($A565))))</f>
        <v>104.47751218593</v>
      </c>
      <c r="V565" s="270" t="n">
        <f aca="false">DEGREES( ACOS( COS(V$563)  * ( 1 /  _xlfn.SEC($A565))))</f>
        <v>90</v>
      </c>
      <c r="W565" s="210" t="n">
        <f aca="false">DEGREES( ACOS( COS(W$563)  * ( 1 /  _xlfn.SEC($A565))))</f>
        <v>75.5224878140701</v>
      </c>
      <c r="X565" s="210" t="n">
        <f aca="false">DEGREES( ACOS( COS(X$563)  * ( 1 /  _xlfn.SEC($A565))))</f>
        <v>61.1209059825724</v>
      </c>
      <c r="Y565" s="210" t="n">
        <f aca="false">DEGREES( ACOS( COS(Y$563)  * ( 1 /  _xlfn.SEC($A565))))</f>
        <v>46.9204828581291</v>
      </c>
      <c r="Z565" s="210" t="n">
        <f aca="false">DEGREES( ACOS( COS(Z$563)  * ( 1 /  _xlfn.SEC($A565))))</f>
        <v>33.2259422032876</v>
      </c>
      <c r="AA565" s="210" t="n">
        <f aca="false">DEGREES( ACOS( COS(AA$563)  * ( 1 /  _xlfn.SEC($A565))))</f>
        <v>21.0905811789991</v>
      </c>
      <c r="AB565" s="270" t="n">
        <f aca="false">DEGREES( ACOS( COS(AB$563)  * ( 1 /  _xlfn.SEC($A565))))</f>
        <v>15.0000032568283</v>
      </c>
      <c r="AC565" s="195" t="n">
        <f aca="false">DEGREES( ACOS( COS(AC$563)  * ( 1 /  _xlfn.SEC($A565))))</f>
        <v>15</v>
      </c>
      <c r="AD565" s="195" t="n">
        <f aca="false">DEGREES( ACOS( COS(AD$563)  * ( 1 /  _xlfn.SEC($A565))))</f>
        <v>15</v>
      </c>
      <c r="AE565" s="1"/>
      <c r="AF565" s="1"/>
      <c r="AG565" s="1"/>
      <c r="AH565" s="1"/>
      <c r="AI565" s="1"/>
      <c r="AJ565" s="1"/>
      <c r="AK565" s="1"/>
      <c r="AL565" s="1"/>
    </row>
    <row r="566" customFormat="false" ht="12.8" hidden="false" customHeight="false" outlineLevel="0" collapsed="false">
      <c r="A566" s="192" t="n">
        <f aca="false">RADIANS(MOD(B566-180,-360)+180)</f>
        <v>0.523598775598299</v>
      </c>
      <c r="B566" s="182" t="n">
        <v>30</v>
      </c>
      <c r="C566" s="1"/>
      <c r="D566" s="270" t="n">
        <f aca="false">DEGREES( ACOS( COS(D$563)  * ( 1 /  _xlfn.SEC($A566))))</f>
        <v>30.000000015115</v>
      </c>
      <c r="E566" s="210" t="n">
        <f aca="false">DEGREES( ACOS( COS(E$563)  * ( 1 /  _xlfn.SEC($A566))))</f>
        <v>33.2259422032876</v>
      </c>
      <c r="F566" s="210" t="n">
        <f aca="false">DEGREES( ACOS( COS(F$563)  * ( 1 /  _xlfn.SEC($A566))))</f>
        <v>41.4096221092709</v>
      </c>
      <c r="G566" s="210" t="n">
        <f aca="false">DEGREES( ACOS( COS(G$563)  * ( 1 /  _xlfn.SEC($A566))))</f>
        <v>52.238756092965</v>
      </c>
      <c r="H566" s="210" t="n">
        <f aca="false">DEGREES( ACOS( COS(H$563)  * ( 1 /  _xlfn.SEC($A566))))</f>
        <v>64.3410937267447</v>
      </c>
      <c r="I566" s="210" t="n">
        <f aca="false">DEGREES( ACOS( COS(I$563)  * ( 1 /  _xlfn.SEC($A566))))</f>
        <v>77.0474603577776</v>
      </c>
      <c r="J566" s="270" t="n">
        <f aca="false">DEGREES( ACOS( COS(J$563)  * ( 1 /  _xlfn.SEC($A566))))</f>
        <v>90</v>
      </c>
      <c r="K566" s="210" t="n">
        <f aca="false">DEGREES( ACOS( COS(K$563)  * ( 1 /  _xlfn.SEC($A566))))</f>
        <v>102.952539642222</v>
      </c>
      <c r="L566" s="210" t="n">
        <f aca="false">DEGREES( ACOS( COS(L$563)  * ( 1 /  _xlfn.SEC($A566))))</f>
        <v>115.658906273255</v>
      </c>
      <c r="M566" s="210" t="n">
        <f aca="false">DEGREES( ACOS( COS(M$563)  * ( 1 /  _xlfn.SEC($A566))))</f>
        <v>127.761243907035</v>
      </c>
      <c r="N566" s="210" t="n">
        <f aca="false">DEGREES( ACOS( COS(N$563)  * ( 1 /  _xlfn.SEC($A566))))</f>
        <v>138.590377890729</v>
      </c>
      <c r="O566" s="210" t="n">
        <f aca="false">DEGREES( ACOS( COS(O$563)  * ( 1 /  _xlfn.SEC($A566))))</f>
        <v>146.774057796712</v>
      </c>
      <c r="P566" s="270" t="n">
        <f aca="false">DEGREES( ACOS( COS(P$563)  * ( 1 /  _xlfn.SEC($A566))))</f>
        <v>150</v>
      </c>
      <c r="Q566" s="210" t="n">
        <f aca="false">DEGREES( ACOS( COS(Q$563)  * ( 1 /  _xlfn.SEC($A566))))</f>
        <v>146.774057796712</v>
      </c>
      <c r="R566" s="210" t="n">
        <f aca="false">DEGREES( ACOS( COS(R$563)  * ( 1 /  _xlfn.SEC($A566))))</f>
        <v>138.590377890729</v>
      </c>
      <c r="S566" s="210" t="n">
        <f aca="false">DEGREES( ACOS( COS(S$563)  * ( 1 /  _xlfn.SEC($A566))))</f>
        <v>127.761243907035</v>
      </c>
      <c r="T566" s="210" t="n">
        <f aca="false">DEGREES( ACOS( COS(T$563)  * ( 1 /  _xlfn.SEC($A566))))</f>
        <v>115.658906273255</v>
      </c>
      <c r="U566" s="210" t="n">
        <f aca="false">DEGREES( ACOS( COS(U$563)  * ( 1 /  _xlfn.SEC($A566))))</f>
        <v>102.952539642222</v>
      </c>
      <c r="V566" s="270" t="n">
        <f aca="false">DEGREES( ACOS( COS(V$563)  * ( 1 /  _xlfn.SEC($A566))))</f>
        <v>90</v>
      </c>
      <c r="W566" s="210" t="n">
        <f aca="false">DEGREES( ACOS( COS(W$563)  * ( 1 /  _xlfn.SEC($A566))))</f>
        <v>77.0474603577776</v>
      </c>
      <c r="X566" s="210" t="n">
        <f aca="false">DEGREES( ACOS( COS(X$563)  * ( 1 /  _xlfn.SEC($A566))))</f>
        <v>64.3410937267447</v>
      </c>
      <c r="Y566" s="210" t="n">
        <f aca="false">DEGREES( ACOS( COS(Y$563)  * ( 1 /  _xlfn.SEC($A566))))</f>
        <v>52.238756092965</v>
      </c>
      <c r="Z566" s="210" t="n">
        <f aca="false">DEGREES( ACOS( COS(Z$563)  * ( 1 /  _xlfn.SEC($A566))))</f>
        <v>41.4096221092709</v>
      </c>
      <c r="AA566" s="210" t="n">
        <f aca="false">DEGREES( ACOS( COS(AA$563)  * ( 1 /  _xlfn.SEC($A566))))</f>
        <v>33.2259422032876</v>
      </c>
      <c r="AB566" s="270" t="n">
        <f aca="false">DEGREES( ACOS( COS(AB$563)  * ( 1 /  _xlfn.SEC($A566))))</f>
        <v>30.0000015114994</v>
      </c>
      <c r="AC566" s="195" t="n">
        <f aca="false">DEGREES( ACOS( COS(AC$563)  * ( 1 /  _xlfn.SEC($A566))))</f>
        <v>30</v>
      </c>
      <c r="AD566" s="195" t="n">
        <f aca="false">DEGREES( ACOS( COS(AD$563)  * ( 1 /  _xlfn.SEC($A566))))</f>
        <v>30</v>
      </c>
      <c r="AE566" s="1"/>
      <c r="AF566" s="1"/>
      <c r="AG566" s="1"/>
      <c r="AH566" s="1"/>
      <c r="AI566" s="1"/>
      <c r="AJ566" s="1"/>
      <c r="AK566" s="1"/>
      <c r="AL566" s="1"/>
    </row>
    <row r="567" customFormat="false" ht="12.8" hidden="false" customHeight="false" outlineLevel="0" collapsed="false">
      <c r="A567" s="192" t="n">
        <f aca="false">RADIANS(MOD(B567-180,-360)+180)</f>
        <v>0.785398163397448</v>
      </c>
      <c r="B567" s="182" t="n">
        <v>45</v>
      </c>
      <c r="C567" s="1"/>
      <c r="D567" s="270" t="n">
        <f aca="false">DEGREES( ACOS( COS(D$563)  * ( 1 /  _xlfn.SEC($A567))))</f>
        <v>45.0000000087267</v>
      </c>
      <c r="E567" s="210" t="n">
        <f aca="false">DEGREES( ACOS( COS(E$563)  * ( 1 /  _xlfn.SEC($A567))))</f>
        <v>46.9204828581291</v>
      </c>
      <c r="F567" s="210" t="n">
        <f aca="false">DEGREES( ACOS( COS(F$563)  * ( 1 /  _xlfn.SEC($A567))))</f>
        <v>52.238756092965</v>
      </c>
      <c r="G567" s="210" t="n">
        <f aca="false">DEGREES( ACOS( COS(G$563)  * ( 1 /  _xlfn.SEC($A567))))</f>
        <v>60</v>
      </c>
      <c r="H567" s="210" t="n">
        <f aca="false">DEGREES( ACOS( COS(H$563)  * ( 1 /  _xlfn.SEC($A567))))</f>
        <v>69.2951889453646</v>
      </c>
      <c r="I567" s="210" t="n">
        <f aca="false">DEGREES( ACOS( COS(I$563)  * ( 1 /  _xlfn.SEC($A567))))</f>
        <v>79.4547094105004</v>
      </c>
      <c r="J567" s="270" t="n">
        <f aca="false">DEGREES( ACOS( COS(J$563)  * ( 1 /  _xlfn.SEC($A567))))</f>
        <v>90</v>
      </c>
      <c r="K567" s="210" t="n">
        <f aca="false">DEGREES( ACOS( COS(K$563)  * ( 1 /  _xlfn.SEC($A567))))</f>
        <v>100.5452905895</v>
      </c>
      <c r="L567" s="210" t="n">
        <f aca="false">DEGREES( ACOS( COS(L$563)  * ( 1 /  _xlfn.SEC($A567))))</f>
        <v>110.704811054635</v>
      </c>
      <c r="M567" s="210" t="n">
        <f aca="false">DEGREES( ACOS( COS(M$563)  * ( 1 /  _xlfn.SEC($A567))))</f>
        <v>120</v>
      </c>
      <c r="N567" s="210" t="n">
        <f aca="false">DEGREES( ACOS( COS(N$563)  * ( 1 /  _xlfn.SEC($A567))))</f>
        <v>127.761243907035</v>
      </c>
      <c r="O567" s="210" t="n">
        <f aca="false">DEGREES( ACOS( COS(O$563)  * ( 1 /  _xlfn.SEC($A567))))</f>
        <v>133.079517141871</v>
      </c>
      <c r="P567" s="270" t="n">
        <f aca="false">DEGREES( ACOS( COS(P$563)  * ( 1 /  _xlfn.SEC($A567))))</f>
        <v>135</v>
      </c>
      <c r="Q567" s="210" t="n">
        <f aca="false">DEGREES( ACOS( COS(Q$563)  * ( 1 /  _xlfn.SEC($A567))))</f>
        <v>133.079517141871</v>
      </c>
      <c r="R567" s="210" t="n">
        <f aca="false">DEGREES( ACOS( COS(R$563)  * ( 1 /  _xlfn.SEC($A567))))</f>
        <v>127.761243907035</v>
      </c>
      <c r="S567" s="210" t="n">
        <f aca="false">DEGREES( ACOS( COS(S$563)  * ( 1 /  _xlfn.SEC($A567))))</f>
        <v>120</v>
      </c>
      <c r="T567" s="210" t="n">
        <f aca="false">DEGREES( ACOS( COS(T$563)  * ( 1 /  _xlfn.SEC($A567))))</f>
        <v>110.704811054635</v>
      </c>
      <c r="U567" s="210" t="n">
        <f aca="false">DEGREES( ACOS( COS(U$563)  * ( 1 /  _xlfn.SEC($A567))))</f>
        <v>100.5452905895</v>
      </c>
      <c r="V567" s="270" t="n">
        <f aca="false">DEGREES( ACOS( COS(V$563)  * ( 1 /  _xlfn.SEC($A567))))</f>
        <v>90</v>
      </c>
      <c r="W567" s="210" t="n">
        <f aca="false">DEGREES( ACOS( COS(W$563)  * ( 1 /  _xlfn.SEC($A567))))</f>
        <v>79.4547094105004</v>
      </c>
      <c r="X567" s="210" t="n">
        <f aca="false">DEGREES( ACOS( COS(X$563)  * ( 1 /  _xlfn.SEC($A567))))</f>
        <v>69.2951889453646</v>
      </c>
      <c r="Y567" s="210" t="n">
        <f aca="false">DEGREES( ACOS( COS(Y$563)  * ( 1 /  _xlfn.SEC($A567))))</f>
        <v>60</v>
      </c>
      <c r="Z567" s="210" t="n">
        <f aca="false">DEGREES( ACOS( COS(Z$563)  * ( 1 /  _xlfn.SEC($A567))))</f>
        <v>52.238756092965</v>
      </c>
      <c r="AA567" s="210" t="n">
        <f aca="false">DEGREES( ACOS( COS(AA$563)  * ( 1 /  _xlfn.SEC($A567))))</f>
        <v>46.9204828581291</v>
      </c>
      <c r="AB567" s="270" t="n">
        <f aca="false">DEGREES( ACOS( COS(AB$563)  * ( 1 /  _xlfn.SEC($A567))))</f>
        <v>45.0000008726646</v>
      </c>
      <c r="AC567" s="195" t="n">
        <f aca="false">DEGREES( ACOS( COS(AC$563)  * ( 1 /  _xlfn.SEC($A567))))</f>
        <v>45</v>
      </c>
      <c r="AD567" s="195" t="n">
        <f aca="false">DEGREES( ACOS( COS(AD$563)  * ( 1 /  _xlfn.SEC($A567))))</f>
        <v>45</v>
      </c>
      <c r="AE567" s="1"/>
      <c r="AF567" s="1"/>
      <c r="AG567" s="1"/>
      <c r="AH567" s="1"/>
      <c r="AI567" s="1"/>
      <c r="AJ567" s="1"/>
      <c r="AK567" s="1"/>
      <c r="AL567" s="1"/>
    </row>
    <row r="568" customFormat="false" ht="12.8" hidden="false" customHeight="false" outlineLevel="0" collapsed="false">
      <c r="A568" s="192" t="n">
        <f aca="false">RADIANS(MOD(B568-180,-360)+180)</f>
        <v>1.0471975511966</v>
      </c>
      <c r="B568" s="182" t="n">
        <v>60</v>
      </c>
      <c r="C568" s="1"/>
      <c r="D568" s="270" t="n">
        <f aca="false">DEGREES( ACOS( COS(D$563)  * ( 1 /  _xlfn.SEC($A568))))</f>
        <v>60.0000000050383</v>
      </c>
      <c r="E568" s="210" t="n">
        <f aca="false">DEGREES( ACOS( COS(E$563)  * ( 1 /  _xlfn.SEC($A568))))</f>
        <v>61.1209059825724</v>
      </c>
      <c r="F568" s="210" t="n">
        <f aca="false">DEGREES( ACOS( COS(F$563)  * ( 1 /  _xlfn.SEC($A568))))</f>
        <v>64.3410937267447</v>
      </c>
      <c r="G568" s="210" t="n">
        <f aca="false">DEGREES( ACOS( COS(G$563)  * ( 1 /  _xlfn.SEC($A568))))</f>
        <v>69.2951889453646</v>
      </c>
      <c r="H568" s="210" t="n">
        <f aca="false">DEGREES( ACOS( COS(H$563)  * ( 1 /  _xlfn.SEC($A568))))</f>
        <v>75.5224878140701</v>
      </c>
      <c r="I568" s="210" t="n">
        <f aca="false">DEGREES( ACOS( COS(I$563)  * ( 1 /  _xlfn.SEC($A568))))</f>
        <v>82.5645277738682</v>
      </c>
      <c r="J568" s="270" t="n">
        <f aca="false">DEGREES( ACOS( COS(J$563)  * ( 1 /  _xlfn.SEC($A568))))</f>
        <v>90</v>
      </c>
      <c r="K568" s="210" t="n">
        <f aca="false">DEGREES( ACOS( COS(K$563)  * ( 1 /  _xlfn.SEC($A568))))</f>
        <v>97.4354722261319</v>
      </c>
      <c r="L568" s="210" t="n">
        <f aca="false">DEGREES( ACOS( COS(L$563)  * ( 1 /  _xlfn.SEC($A568))))</f>
        <v>104.47751218593</v>
      </c>
      <c r="M568" s="210" t="n">
        <f aca="false">DEGREES( ACOS( COS(M$563)  * ( 1 /  _xlfn.SEC($A568))))</f>
        <v>110.704811054635</v>
      </c>
      <c r="N568" s="210" t="n">
        <f aca="false">DEGREES( ACOS( COS(N$563)  * ( 1 /  _xlfn.SEC($A568))))</f>
        <v>115.658906273255</v>
      </c>
      <c r="O568" s="210" t="n">
        <f aca="false">DEGREES( ACOS( COS(O$563)  * ( 1 /  _xlfn.SEC($A568))))</f>
        <v>118.879094017428</v>
      </c>
      <c r="P568" s="270" t="n">
        <f aca="false">DEGREES( ACOS( COS(P$563)  * ( 1 /  _xlfn.SEC($A568))))</f>
        <v>120</v>
      </c>
      <c r="Q568" s="210" t="n">
        <f aca="false">DEGREES( ACOS( COS(Q$563)  * ( 1 /  _xlfn.SEC($A568))))</f>
        <v>118.879094017428</v>
      </c>
      <c r="R568" s="210" t="n">
        <f aca="false">DEGREES( ACOS( COS(R$563)  * ( 1 /  _xlfn.SEC($A568))))</f>
        <v>115.658906273255</v>
      </c>
      <c r="S568" s="210" t="n">
        <f aca="false">DEGREES( ACOS( COS(S$563)  * ( 1 /  _xlfn.SEC($A568))))</f>
        <v>110.704811054635</v>
      </c>
      <c r="T568" s="210" t="n">
        <f aca="false">DEGREES( ACOS( COS(T$563)  * ( 1 /  _xlfn.SEC($A568))))</f>
        <v>104.47751218593</v>
      </c>
      <c r="U568" s="210" t="n">
        <f aca="false">DEGREES( ACOS( COS(U$563)  * ( 1 /  _xlfn.SEC($A568))))</f>
        <v>97.4354722261319</v>
      </c>
      <c r="V568" s="270" t="n">
        <f aca="false">DEGREES( ACOS( COS(V$563)  * ( 1 /  _xlfn.SEC($A568))))</f>
        <v>90</v>
      </c>
      <c r="W568" s="210" t="n">
        <f aca="false">DEGREES( ACOS( COS(W$563)  * ( 1 /  _xlfn.SEC($A568))))</f>
        <v>82.5645277738682</v>
      </c>
      <c r="X568" s="210" t="n">
        <f aca="false">DEGREES( ACOS( COS(X$563)  * ( 1 /  _xlfn.SEC($A568))))</f>
        <v>75.5224878140701</v>
      </c>
      <c r="Y568" s="210" t="n">
        <f aca="false">DEGREES( ACOS( COS(Y$563)  * ( 1 /  _xlfn.SEC($A568))))</f>
        <v>69.2951889453646</v>
      </c>
      <c r="Z568" s="210" t="n">
        <f aca="false">DEGREES( ACOS( COS(Z$563)  * ( 1 /  _xlfn.SEC($A568))))</f>
        <v>64.3410937267447</v>
      </c>
      <c r="AA568" s="210" t="n">
        <f aca="false">DEGREES( ACOS( COS(AA$563)  * ( 1 /  _xlfn.SEC($A568))))</f>
        <v>61.1209059825724</v>
      </c>
      <c r="AB568" s="270" t="n">
        <f aca="false">DEGREES( ACOS( COS(AB$563)  * ( 1 /  _xlfn.SEC($A568))))</f>
        <v>60.0000005038332</v>
      </c>
      <c r="AC568" s="195" t="n">
        <f aca="false">DEGREES( ACOS( COS(AC$563)  * ( 1 /  _xlfn.SEC($A568))))</f>
        <v>60</v>
      </c>
      <c r="AD568" s="195" t="n">
        <f aca="false">DEGREES( ACOS( COS(AD$563)  * ( 1 /  _xlfn.SEC($A568))))</f>
        <v>60</v>
      </c>
      <c r="AE568" s="1"/>
      <c r="AF568" s="1"/>
      <c r="AG568" s="1"/>
      <c r="AH568" s="1"/>
      <c r="AI568" s="1"/>
      <c r="AJ568" s="1"/>
      <c r="AK568" s="1"/>
      <c r="AL568" s="1"/>
    </row>
    <row r="569" customFormat="false" ht="12.8" hidden="false" customHeight="false" outlineLevel="0" collapsed="false">
      <c r="A569" s="192" t="n">
        <f aca="false">RADIANS(MOD(B569-180,-360)+180)</f>
        <v>1.30899693899575</v>
      </c>
      <c r="B569" s="182" t="n">
        <v>75</v>
      </c>
      <c r="C569" s="1"/>
      <c r="D569" s="270" t="n">
        <f aca="false">DEGREES( ACOS( COS(D$563)  * ( 1 /  _xlfn.SEC($A569))))</f>
        <v>75.0000000023383</v>
      </c>
      <c r="E569" s="210" t="n">
        <f aca="false">DEGREES( ACOS( COS(E$563)  * ( 1 /  _xlfn.SEC($A569))))</f>
        <v>75.5224878140701</v>
      </c>
      <c r="F569" s="210" t="n">
        <f aca="false">DEGREES( ACOS( COS(F$563)  * ( 1 /  _xlfn.SEC($A569))))</f>
        <v>77.0474603577776</v>
      </c>
      <c r="G569" s="210" t="n">
        <f aca="false">DEGREES( ACOS( COS(G$563)  * ( 1 /  _xlfn.SEC($A569))))</f>
        <v>79.4547094105004</v>
      </c>
      <c r="H569" s="210" t="n">
        <f aca="false">DEGREES( ACOS( COS(H$563)  * ( 1 /  _xlfn.SEC($A569))))</f>
        <v>82.5645277738682</v>
      </c>
      <c r="I569" s="210" t="n">
        <f aca="false">DEGREES( ACOS( COS(I$563)  * ( 1 /  _xlfn.SEC($A569))))</f>
        <v>86.1590342837419</v>
      </c>
      <c r="J569" s="270" t="n">
        <f aca="false">DEGREES( ACOS( COS(J$563)  * ( 1 /  _xlfn.SEC($A569))))</f>
        <v>90</v>
      </c>
      <c r="K569" s="210" t="n">
        <f aca="false">DEGREES( ACOS( COS(K$563)  * ( 1 /  _xlfn.SEC($A569))))</f>
        <v>93.8409657162582</v>
      </c>
      <c r="L569" s="210" t="n">
        <f aca="false">DEGREES( ACOS( COS(L$563)  * ( 1 /  _xlfn.SEC($A569))))</f>
        <v>97.4354722261319</v>
      </c>
      <c r="M569" s="210" t="n">
        <f aca="false">DEGREES( ACOS( COS(M$563)  * ( 1 /  _xlfn.SEC($A569))))</f>
        <v>100.5452905895</v>
      </c>
      <c r="N569" s="210" t="n">
        <f aca="false">DEGREES( ACOS( COS(N$563)  * ( 1 /  _xlfn.SEC($A569))))</f>
        <v>102.952539642222</v>
      </c>
      <c r="O569" s="210" t="n">
        <f aca="false">DEGREES( ACOS( COS(O$563)  * ( 1 /  _xlfn.SEC($A569))))</f>
        <v>104.47751218593</v>
      </c>
      <c r="P569" s="270" t="n">
        <f aca="false">DEGREES( ACOS( COS(P$563)  * ( 1 /  _xlfn.SEC($A569))))</f>
        <v>105</v>
      </c>
      <c r="Q569" s="210" t="n">
        <f aca="false">DEGREES( ACOS( COS(Q$563)  * ( 1 /  _xlfn.SEC($A569))))</f>
        <v>104.47751218593</v>
      </c>
      <c r="R569" s="210" t="n">
        <f aca="false">DEGREES( ACOS( COS(R$563)  * ( 1 /  _xlfn.SEC($A569))))</f>
        <v>102.952539642222</v>
      </c>
      <c r="S569" s="210" t="n">
        <f aca="false">DEGREES( ACOS( COS(S$563)  * ( 1 /  _xlfn.SEC($A569))))</f>
        <v>100.5452905895</v>
      </c>
      <c r="T569" s="210" t="n">
        <f aca="false">DEGREES( ACOS( COS(T$563)  * ( 1 /  _xlfn.SEC($A569))))</f>
        <v>97.4354722261319</v>
      </c>
      <c r="U569" s="210" t="n">
        <f aca="false">DEGREES( ACOS( COS(U$563)  * ( 1 /  _xlfn.SEC($A569))))</f>
        <v>93.8409657162582</v>
      </c>
      <c r="V569" s="270" t="n">
        <f aca="false">DEGREES( ACOS( COS(V$563)  * ( 1 /  _xlfn.SEC($A569))))</f>
        <v>90</v>
      </c>
      <c r="W569" s="210" t="n">
        <f aca="false">DEGREES( ACOS( COS(W$563)  * ( 1 /  _xlfn.SEC($A569))))</f>
        <v>86.1590342837419</v>
      </c>
      <c r="X569" s="210" t="n">
        <f aca="false">DEGREES( ACOS( COS(X$563)  * ( 1 /  _xlfn.SEC($A569))))</f>
        <v>82.5645277738682</v>
      </c>
      <c r="Y569" s="210" t="n">
        <f aca="false">DEGREES( ACOS( COS(Y$563)  * ( 1 /  _xlfn.SEC($A569))))</f>
        <v>79.4547094105004</v>
      </c>
      <c r="Z569" s="210" t="n">
        <f aca="false">DEGREES( ACOS( COS(Z$563)  * ( 1 /  _xlfn.SEC($A569))))</f>
        <v>77.0474603577776</v>
      </c>
      <c r="AA569" s="210" t="n">
        <f aca="false">DEGREES( ACOS( COS(AA$563)  * ( 1 /  _xlfn.SEC($A569))))</f>
        <v>75.5224878140701</v>
      </c>
      <c r="AB569" s="270" t="n">
        <f aca="false">DEGREES( ACOS( COS(AB$563)  * ( 1 /  _xlfn.SEC($A569))))</f>
        <v>75.0000002338298</v>
      </c>
      <c r="AC569" s="195" t="n">
        <f aca="false">DEGREES( ACOS( COS(AC$563)  * ( 1 /  _xlfn.SEC($A569))))</f>
        <v>75</v>
      </c>
      <c r="AD569" s="195" t="n">
        <f aca="false">DEGREES( ACOS( COS(AD$563)  * ( 1 /  _xlfn.SEC($A569))))</f>
        <v>75</v>
      </c>
      <c r="AE569" s="1"/>
      <c r="AF569" s="1"/>
      <c r="AG569" s="1"/>
      <c r="AH569" s="1"/>
      <c r="AI569" s="1"/>
      <c r="AJ569" s="1"/>
      <c r="AK569" s="1"/>
      <c r="AL569" s="1"/>
    </row>
    <row r="570" customFormat="false" ht="12.8" hidden="false" customHeight="false" outlineLevel="0" collapsed="false">
      <c r="A570" s="192" t="n">
        <f aca="false">RADIANS(MOD(B570-180,-360)+180)</f>
        <v>1.5707963267949</v>
      </c>
      <c r="B570" s="182" t="n">
        <v>90</v>
      </c>
      <c r="C570" s="1"/>
      <c r="D570" s="270" t="n">
        <f aca="false">DEGREES( ACOS( COS(D$563)  * ( 1 /  _xlfn.SEC($A570))))</f>
        <v>90</v>
      </c>
      <c r="E570" s="270" t="n">
        <f aca="false">DEGREES( ACOS( COS(E$563)  * ( 1 /  _xlfn.SEC($A570))))</f>
        <v>90</v>
      </c>
      <c r="F570" s="270" t="n">
        <f aca="false">DEGREES( ACOS( COS(F$563)  * ( 1 /  _xlfn.SEC($A570))))</f>
        <v>90</v>
      </c>
      <c r="G570" s="270" t="n">
        <f aca="false">DEGREES( ACOS( COS(G$563)  * ( 1 /  _xlfn.SEC($A570))))</f>
        <v>90</v>
      </c>
      <c r="H570" s="270" t="n">
        <f aca="false">DEGREES( ACOS( COS(H$563)  * ( 1 /  _xlfn.SEC($A570))))</f>
        <v>90</v>
      </c>
      <c r="I570" s="270" t="n">
        <f aca="false">DEGREES( ACOS( COS(I$563)  * ( 1 /  _xlfn.SEC($A570))))</f>
        <v>90</v>
      </c>
      <c r="J570" s="270" t="n">
        <f aca="false">DEGREES( ACOS( COS(J$563)  * ( 1 /  _xlfn.SEC($A570))))</f>
        <v>90</v>
      </c>
      <c r="K570" s="270" t="n">
        <f aca="false">DEGREES( ACOS( COS(K$563)  * ( 1 /  _xlfn.SEC($A570))))</f>
        <v>90</v>
      </c>
      <c r="L570" s="270" t="n">
        <f aca="false">DEGREES( ACOS( COS(L$563)  * ( 1 /  _xlfn.SEC($A570))))</f>
        <v>90</v>
      </c>
      <c r="M570" s="270" t="n">
        <f aca="false">DEGREES( ACOS( COS(M$563)  * ( 1 /  _xlfn.SEC($A570))))</f>
        <v>90</v>
      </c>
      <c r="N570" s="270" t="n">
        <f aca="false">DEGREES( ACOS( COS(N$563)  * ( 1 /  _xlfn.SEC($A570))))</f>
        <v>90</v>
      </c>
      <c r="O570" s="270" t="n">
        <f aca="false">DEGREES( ACOS( COS(O$563)  * ( 1 /  _xlfn.SEC($A570))))</f>
        <v>90</v>
      </c>
      <c r="P570" s="270" t="n">
        <f aca="false">DEGREES( ACOS( COS(P$563)  * ( 1 /  _xlfn.SEC($A570))))</f>
        <v>90</v>
      </c>
      <c r="Q570" s="270" t="n">
        <f aca="false">DEGREES( ACOS( COS(Q$563)  * ( 1 /  _xlfn.SEC($A570))))</f>
        <v>90</v>
      </c>
      <c r="R570" s="270" t="n">
        <f aca="false">DEGREES( ACOS( COS(R$563)  * ( 1 /  _xlfn.SEC($A570))))</f>
        <v>90</v>
      </c>
      <c r="S570" s="270" t="n">
        <f aca="false">DEGREES( ACOS( COS(S$563)  * ( 1 /  _xlfn.SEC($A570))))</f>
        <v>90</v>
      </c>
      <c r="T570" s="270" t="n">
        <f aca="false">DEGREES( ACOS( COS(T$563)  * ( 1 /  _xlfn.SEC($A570))))</f>
        <v>90</v>
      </c>
      <c r="U570" s="270" t="n">
        <f aca="false">DEGREES( ACOS( COS(U$563)  * ( 1 /  _xlfn.SEC($A570))))</f>
        <v>90</v>
      </c>
      <c r="V570" s="270" t="n">
        <f aca="false">DEGREES( ACOS( COS(V$563)  * ( 1 /  _xlfn.SEC($A570))))</f>
        <v>90</v>
      </c>
      <c r="W570" s="270" t="n">
        <f aca="false">DEGREES( ACOS( COS(W$563)  * ( 1 /  _xlfn.SEC($A570))))</f>
        <v>90</v>
      </c>
      <c r="X570" s="270" t="n">
        <f aca="false">DEGREES( ACOS( COS(X$563)  * ( 1 /  _xlfn.SEC($A570))))</f>
        <v>90</v>
      </c>
      <c r="Y570" s="270" t="n">
        <f aca="false">DEGREES( ACOS( COS(Y$563)  * ( 1 /  _xlfn.SEC($A570))))</f>
        <v>90</v>
      </c>
      <c r="Z570" s="270" t="n">
        <f aca="false">DEGREES( ACOS( COS(Z$563)  * ( 1 /  _xlfn.SEC($A570))))</f>
        <v>90</v>
      </c>
      <c r="AA570" s="270" t="n">
        <f aca="false">DEGREES( ACOS( COS(AA$563)  * ( 1 /  _xlfn.SEC($A570))))</f>
        <v>90</v>
      </c>
      <c r="AB570" s="270" t="n">
        <f aca="false">DEGREES( ACOS( COS(AB$563)  * ( 1 /  _xlfn.SEC($A570))))</f>
        <v>90</v>
      </c>
      <c r="AC570" s="195" t="n">
        <f aca="false">DEGREES( ACOS( COS(AC$563)  * ( 1 /  _xlfn.SEC($A570))))</f>
        <v>90</v>
      </c>
      <c r="AD570" s="195" t="n">
        <f aca="false">DEGREES( ACOS( COS(AD$563)  * ( 1 /  _xlfn.SEC($A570))))</f>
        <v>90</v>
      </c>
      <c r="AE570" s="1"/>
      <c r="AF570" s="1"/>
      <c r="AG570" s="1"/>
      <c r="AH570" s="1"/>
      <c r="AI570" s="1"/>
      <c r="AJ570" s="1"/>
      <c r="AK570" s="1"/>
      <c r="AL570" s="1"/>
    </row>
    <row r="571" customFormat="false" ht="12.8" hidden="false" customHeight="false" outlineLevel="0" collapsed="false">
      <c r="A571" s="192" t="n">
        <f aca="false">RADIANS(MOD(B571-180,-360)+180)</f>
        <v>1.83259571459405</v>
      </c>
      <c r="B571" s="182" t="n">
        <v>105</v>
      </c>
      <c r="C571" s="1"/>
      <c r="D571" s="270" t="n">
        <f aca="false">DEGREES( ACOS( COS(D$563)  * ( 1 /  _xlfn.SEC($A571))))</f>
        <v>104.999999997662</v>
      </c>
      <c r="E571" s="210" t="n">
        <f aca="false">DEGREES( ACOS( COS(E$563)  * ( 1 /  _xlfn.SEC($A571))))</f>
        <v>104.47751218593</v>
      </c>
      <c r="F571" s="210" t="n">
        <f aca="false">DEGREES( ACOS( COS(F$563)  * ( 1 /  _xlfn.SEC($A571))))</f>
        <v>102.952539642222</v>
      </c>
      <c r="G571" s="210" t="n">
        <f aca="false">DEGREES( ACOS( COS(G$563)  * ( 1 /  _xlfn.SEC($A571))))</f>
        <v>100.5452905895</v>
      </c>
      <c r="H571" s="210" t="n">
        <f aca="false">DEGREES( ACOS( COS(H$563)  * ( 1 /  _xlfn.SEC($A571))))</f>
        <v>97.4354722261319</v>
      </c>
      <c r="I571" s="210" t="n">
        <f aca="false">DEGREES( ACOS( COS(I$563)  * ( 1 /  _xlfn.SEC($A571))))</f>
        <v>93.8409657162582</v>
      </c>
      <c r="J571" s="270" t="n">
        <f aca="false">DEGREES( ACOS( COS(J$563)  * ( 1 /  _xlfn.SEC($A571))))</f>
        <v>90</v>
      </c>
      <c r="K571" s="210" t="n">
        <f aca="false">DEGREES( ACOS( COS(K$563)  * ( 1 /  _xlfn.SEC($A571))))</f>
        <v>86.1590342837419</v>
      </c>
      <c r="L571" s="210" t="n">
        <f aca="false">DEGREES( ACOS( COS(L$563)  * ( 1 /  _xlfn.SEC($A571))))</f>
        <v>82.5645277738682</v>
      </c>
      <c r="M571" s="210" t="n">
        <f aca="false">DEGREES( ACOS( COS(M$563)  * ( 1 /  _xlfn.SEC($A571))))</f>
        <v>79.4547094105004</v>
      </c>
      <c r="N571" s="210" t="n">
        <f aca="false">DEGREES( ACOS( COS(N$563)  * ( 1 /  _xlfn.SEC($A571))))</f>
        <v>77.0474603577776</v>
      </c>
      <c r="O571" s="210" t="n">
        <f aca="false">DEGREES( ACOS( COS(O$563)  * ( 1 /  _xlfn.SEC($A571))))</f>
        <v>75.5224878140701</v>
      </c>
      <c r="P571" s="270" t="n">
        <f aca="false">DEGREES( ACOS( COS(P$563)  * ( 1 /  _xlfn.SEC($A571))))</f>
        <v>75</v>
      </c>
      <c r="Q571" s="210" t="n">
        <f aca="false">DEGREES( ACOS( COS(Q$563)  * ( 1 /  _xlfn.SEC($A571))))</f>
        <v>75.5224878140701</v>
      </c>
      <c r="R571" s="210" t="n">
        <f aca="false">DEGREES( ACOS( COS(R$563)  * ( 1 /  _xlfn.SEC($A571))))</f>
        <v>77.0474603577776</v>
      </c>
      <c r="S571" s="210" t="n">
        <f aca="false">DEGREES( ACOS( COS(S$563)  * ( 1 /  _xlfn.SEC($A571))))</f>
        <v>79.4547094105004</v>
      </c>
      <c r="T571" s="210" t="n">
        <f aca="false">DEGREES( ACOS( COS(T$563)  * ( 1 /  _xlfn.SEC($A571))))</f>
        <v>82.5645277738682</v>
      </c>
      <c r="U571" s="210" t="n">
        <f aca="false">DEGREES( ACOS( COS(U$563)  * ( 1 /  _xlfn.SEC($A571))))</f>
        <v>86.1590342837419</v>
      </c>
      <c r="V571" s="270" t="n">
        <f aca="false">DEGREES( ACOS( COS(V$563)  * ( 1 /  _xlfn.SEC($A571))))</f>
        <v>90</v>
      </c>
      <c r="W571" s="210" t="n">
        <f aca="false">DEGREES( ACOS( COS(W$563)  * ( 1 /  _xlfn.SEC($A571))))</f>
        <v>93.8409657162582</v>
      </c>
      <c r="X571" s="210" t="n">
        <f aca="false">DEGREES( ACOS( COS(X$563)  * ( 1 /  _xlfn.SEC($A571))))</f>
        <v>97.4354722261319</v>
      </c>
      <c r="Y571" s="210" t="n">
        <f aca="false">DEGREES( ACOS( COS(Y$563)  * ( 1 /  _xlfn.SEC($A571))))</f>
        <v>100.5452905895</v>
      </c>
      <c r="Z571" s="210" t="n">
        <f aca="false">DEGREES( ACOS( COS(Z$563)  * ( 1 /  _xlfn.SEC($A571))))</f>
        <v>102.952539642222</v>
      </c>
      <c r="AA571" s="210" t="n">
        <f aca="false">DEGREES( ACOS( COS(AA$563)  * ( 1 /  _xlfn.SEC($A571))))</f>
        <v>104.47751218593</v>
      </c>
      <c r="AB571" s="270" t="n">
        <f aca="false">DEGREES( ACOS( COS(AB$563)  * ( 1 /  _xlfn.SEC($A571))))</f>
        <v>104.99999976617</v>
      </c>
      <c r="AC571" s="195" t="n">
        <f aca="false">DEGREES( ACOS( COS(AC$563)  * ( 1 /  _xlfn.SEC($A571))))</f>
        <v>105</v>
      </c>
      <c r="AD571" s="195" t="n">
        <f aca="false">DEGREES( ACOS( COS(AD$563)  * ( 1 /  _xlfn.SEC($A571))))</f>
        <v>105</v>
      </c>
      <c r="AE571" s="1"/>
      <c r="AF571" s="1"/>
      <c r="AG571" s="1"/>
      <c r="AH571" s="1"/>
      <c r="AI571" s="1"/>
      <c r="AJ571" s="1"/>
      <c r="AK571" s="1"/>
      <c r="AL571" s="1"/>
    </row>
    <row r="572" customFormat="false" ht="12.8" hidden="false" customHeight="false" outlineLevel="0" collapsed="false">
      <c r="A572" s="192" t="n">
        <f aca="false">RADIANS(MOD(B572-180,-360)+180)</f>
        <v>2.0943951023932</v>
      </c>
      <c r="B572" s="182" t="n">
        <v>120</v>
      </c>
      <c r="C572" s="1"/>
      <c r="D572" s="270" t="n">
        <f aca="false">DEGREES( ACOS( COS(D$563)  * ( 1 /  _xlfn.SEC($A572))))</f>
        <v>119.999999994962</v>
      </c>
      <c r="E572" s="210" t="n">
        <f aca="false">DEGREES( ACOS( COS(E$563)  * ( 1 /  _xlfn.SEC($A572))))</f>
        <v>118.879094017428</v>
      </c>
      <c r="F572" s="210" t="n">
        <f aca="false">DEGREES( ACOS( COS(F$563)  * ( 1 /  _xlfn.SEC($A572))))</f>
        <v>115.658906273255</v>
      </c>
      <c r="G572" s="210" t="n">
        <f aca="false">DEGREES( ACOS( COS(G$563)  * ( 1 /  _xlfn.SEC($A572))))</f>
        <v>110.704811054635</v>
      </c>
      <c r="H572" s="210" t="n">
        <f aca="false">DEGREES( ACOS( COS(H$563)  * ( 1 /  _xlfn.SEC($A572))))</f>
        <v>104.47751218593</v>
      </c>
      <c r="I572" s="210" t="n">
        <f aca="false">DEGREES( ACOS( COS(I$563)  * ( 1 /  _xlfn.SEC($A572))))</f>
        <v>97.4354722261319</v>
      </c>
      <c r="J572" s="270" t="n">
        <f aca="false">DEGREES( ACOS( COS(J$563)  * ( 1 /  _xlfn.SEC($A572))))</f>
        <v>90</v>
      </c>
      <c r="K572" s="210" t="n">
        <f aca="false">DEGREES( ACOS( COS(K$563)  * ( 1 /  _xlfn.SEC($A572))))</f>
        <v>82.5645277738682</v>
      </c>
      <c r="L572" s="210" t="n">
        <f aca="false">DEGREES( ACOS( COS(L$563)  * ( 1 /  _xlfn.SEC($A572))))</f>
        <v>75.5224878140701</v>
      </c>
      <c r="M572" s="210" t="n">
        <f aca="false">DEGREES( ACOS( COS(M$563)  * ( 1 /  _xlfn.SEC($A572))))</f>
        <v>69.2951889453646</v>
      </c>
      <c r="N572" s="210" t="n">
        <f aca="false">DEGREES( ACOS( COS(N$563)  * ( 1 /  _xlfn.SEC($A572))))</f>
        <v>64.3410937267447</v>
      </c>
      <c r="O572" s="210" t="n">
        <f aca="false">DEGREES( ACOS( COS(O$563)  * ( 1 /  _xlfn.SEC($A572))))</f>
        <v>61.1209059825724</v>
      </c>
      <c r="P572" s="270" t="n">
        <f aca="false">DEGREES( ACOS( COS(P$563)  * ( 1 /  _xlfn.SEC($A572))))</f>
        <v>60</v>
      </c>
      <c r="Q572" s="210" t="n">
        <f aca="false">DEGREES( ACOS( COS(Q$563)  * ( 1 /  _xlfn.SEC($A572))))</f>
        <v>61.1209059825724</v>
      </c>
      <c r="R572" s="210" t="n">
        <f aca="false">DEGREES( ACOS( COS(R$563)  * ( 1 /  _xlfn.SEC($A572))))</f>
        <v>64.3410937267447</v>
      </c>
      <c r="S572" s="210" t="n">
        <f aca="false">DEGREES( ACOS( COS(S$563)  * ( 1 /  _xlfn.SEC($A572))))</f>
        <v>69.2951889453646</v>
      </c>
      <c r="T572" s="210" t="n">
        <f aca="false">DEGREES( ACOS( COS(T$563)  * ( 1 /  _xlfn.SEC($A572))))</f>
        <v>75.5224878140701</v>
      </c>
      <c r="U572" s="210" t="n">
        <f aca="false">DEGREES( ACOS( COS(U$563)  * ( 1 /  _xlfn.SEC($A572))))</f>
        <v>82.5645277738682</v>
      </c>
      <c r="V572" s="270" t="n">
        <f aca="false">DEGREES( ACOS( COS(V$563)  * ( 1 /  _xlfn.SEC($A572))))</f>
        <v>90</v>
      </c>
      <c r="W572" s="210" t="n">
        <f aca="false">DEGREES( ACOS( COS(W$563)  * ( 1 /  _xlfn.SEC($A572))))</f>
        <v>97.4354722261319</v>
      </c>
      <c r="X572" s="210" t="n">
        <f aca="false">DEGREES( ACOS( COS(X$563)  * ( 1 /  _xlfn.SEC($A572))))</f>
        <v>104.47751218593</v>
      </c>
      <c r="Y572" s="210" t="n">
        <f aca="false">DEGREES( ACOS( COS(Y$563)  * ( 1 /  _xlfn.SEC($A572))))</f>
        <v>110.704811054635</v>
      </c>
      <c r="Z572" s="210" t="n">
        <f aca="false">DEGREES( ACOS( COS(Z$563)  * ( 1 /  _xlfn.SEC($A572))))</f>
        <v>115.658906273255</v>
      </c>
      <c r="AA572" s="210" t="n">
        <f aca="false">DEGREES( ACOS( COS(AA$563)  * ( 1 /  _xlfn.SEC($A572))))</f>
        <v>118.879094017428</v>
      </c>
      <c r="AB572" s="270" t="n">
        <f aca="false">DEGREES( ACOS( COS(AB$563)  * ( 1 /  _xlfn.SEC($A572))))</f>
        <v>119.999999496167</v>
      </c>
      <c r="AC572" s="195" t="n">
        <f aca="false">DEGREES( ACOS( COS(AC$563)  * ( 1 /  _xlfn.SEC($A572))))</f>
        <v>120</v>
      </c>
      <c r="AD572" s="195" t="n">
        <f aca="false">DEGREES( ACOS( COS(AD$563)  * ( 1 /  _xlfn.SEC($A572))))</f>
        <v>120</v>
      </c>
      <c r="AE572" s="1"/>
      <c r="AF572" s="1"/>
      <c r="AG572" s="1"/>
      <c r="AH572" s="1"/>
      <c r="AI572" s="1"/>
      <c r="AJ572" s="1"/>
      <c r="AK572" s="1"/>
      <c r="AL572" s="1"/>
    </row>
    <row r="573" customFormat="false" ht="12.8" hidden="false" customHeight="false" outlineLevel="0" collapsed="false">
      <c r="A573" s="192" t="n">
        <f aca="false">RADIANS(MOD(B573-180,-360)+180)</f>
        <v>2.35619449019234</v>
      </c>
      <c r="B573" s="182" t="n">
        <v>135</v>
      </c>
      <c r="C573" s="1"/>
      <c r="D573" s="270" t="n">
        <f aca="false">DEGREES( ACOS( COS(D$563)  * ( 1 /  _xlfn.SEC($A573))))</f>
        <v>134.999999991273</v>
      </c>
      <c r="E573" s="210" t="n">
        <f aca="false">DEGREES( ACOS( COS(E$563)  * ( 1 /  _xlfn.SEC($A573))))</f>
        <v>133.079517141871</v>
      </c>
      <c r="F573" s="210" t="n">
        <f aca="false">DEGREES( ACOS( COS(F$563)  * ( 1 /  _xlfn.SEC($A573))))</f>
        <v>127.761243907035</v>
      </c>
      <c r="G573" s="210" t="n">
        <f aca="false">DEGREES( ACOS( COS(G$563)  * ( 1 /  _xlfn.SEC($A573))))</f>
        <v>120</v>
      </c>
      <c r="H573" s="210" t="n">
        <f aca="false">DEGREES( ACOS( COS(H$563)  * ( 1 /  _xlfn.SEC($A573))))</f>
        <v>110.704811054635</v>
      </c>
      <c r="I573" s="210" t="n">
        <f aca="false">DEGREES( ACOS( COS(I$563)  * ( 1 /  _xlfn.SEC($A573))))</f>
        <v>100.5452905895</v>
      </c>
      <c r="J573" s="270" t="n">
        <f aca="false">DEGREES( ACOS( COS(J$563)  * ( 1 /  _xlfn.SEC($A573))))</f>
        <v>90</v>
      </c>
      <c r="K573" s="210" t="n">
        <f aca="false">DEGREES( ACOS( COS(K$563)  * ( 1 /  _xlfn.SEC($A573))))</f>
        <v>79.4547094105004</v>
      </c>
      <c r="L573" s="210" t="n">
        <f aca="false">DEGREES( ACOS( COS(L$563)  * ( 1 /  _xlfn.SEC($A573))))</f>
        <v>69.2951889453646</v>
      </c>
      <c r="M573" s="210" t="n">
        <f aca="false">DEGREES( ACOS( COS(M$563)  * ( 1 /  _xlfn.SEC($A573))))</f>
        <v>60</v>
      </c>
      <c r="N573" s="210" t="n">
        <f aca="false">DEGREES( ACOS( COS(N$563)  * ( 1 /  _xlfn.SEC($A573))))</f>
        <v>52.238756092965</v>
      </c>
      <c r="O573" s="210" t="n">
        <f aca="false">DEGREES( ACOS( COS(O$563)  * ( 1 /  _xlfn.SEC($A573))))</f>
        <v>46.9204828581291</v>
      </c>
      <c r="P573" s="270" t="n">
        <f aca="false">DEGREES( ACOS( COS(P$563)  * ( 1 /  _xlfn.SEC($A573))))</f>
        <v>45</v>
      </c>
      <c r="Q573" s="210" t="n">
        <f aca="false">DEGREES( ACOS( COS(Q$563)  * ( 1 /  _xlfn.SEC($A573))))</f>
        <v>46.9204828581291</v>
      </c>
      <c r="R573" s="210" t="n">
        <f aca="false">DEGREES( ACOS( COS(R$563)  * ( 1 /  _xlfn.SEC($A573))))</f>
        <v>52.238756092965</v>
      </c>
      <c r="S573" s="210" t="n">
        <f aca="false">DEGREES( ACOS( COS(S$563)  * ( 1 /  _xlfn.SEC($A573))))</f>
        <v>60</v>
      </c>
      <c r="T573" s="210" t="n">
        <f aca="false">DEGREES( ACOS( COS(T$563)  * ( 1 /  _xlfn.SEC($A573))))</f>
        <v>69.2951889453646</v>
      </c>
      <c r="U573" s="210" t="n">
        <f aca="false">DEGREES( ACOS( COS(U$563)  * ( 1 /  _xlfn.SEC($A573))))</f>
        <v>79.4547094105004</v>
      </c>
      <c r="V573" s="270" t="n">
        <f aca="false">DEGREES( ACOS( COS(V$563)  * ( 1 /  _xlfn.SEC($A573))))</f>
        <v>90</v>
      </c>
      <c r="W573" s="210" t="n">
        <f aca="false">DEGREES( ACOS( COS(W$563)  * ( 1 /  _xlfn.SEC($A573))))</f>
        <v>100.5452905895</v>
      </c>
      <c r="X573" s="210" t="n">
        <f aca="false">DEGREES( ACOS( COS(X$563)  * ( 1 /  _xlfn.SEC($A573))))</f>
        <v>110.704811054635</v>
      </c>
      <c r="Y573" s="210" t="n">
        <f aca="false">DEGREES( ACOS( COS(Y$563)  * ( 1 /  _xlfn.SEC($A573))))</f>
        <v>120</v>
      </c>
      <c r="Z573" s="210" t="n">
        <f aca="false">DEGREES( ACOS( COS(Z$563)  * ( 1 /  _xlfn.SEC($A573))))</f>
        <v>127.761243907035</v>
      </c>
      <c r="AA573" s="210" t="n">
        <f aca="false">DEGREES( ACOS( COS(AA$563)  * ( 1 /  _xlfn.SEC($A573))))</f>
        <v>133.079517141871</v>
      </c>
      <c r="AB573" s="270" t="n">
        <f aca="false">DEGREES( ACOS( COS(AB$563)  * ( 1 /  _xlfn.SEC($A573))))</f>
        <v>134.999999127335</v>
      </c>
      <c r="AC573" s="195" t="n">
        <f aca="false">DEGREES( ACOS( COS(AC$563)  * ( 1 /  _xlfn.SEC($A573))))</f>
        <v>135</v>
      </c>
      <c r="AD573" s="195" t="n">
        <f aca="false">DEGREES( ACOS( COS(AD$563)  * ( 1 /  _xlfn.SEC($A573))))</f>
        <v>135</v>
      </c>
      <c r="AE573" s="1"/>
      <c r="AF573" s="1"/>
      <c r="AG573" s="1"/>
      <c r="AH573" s="1"/>
      <c r="AI573" s="1"/>
      <c r="AJ573" s="1"/>
      <c r="AK573" s="1"/>
      <c r="AL573" s="1"/>
    </row>
    <row r="574" customFormat="false" ht="12.8" hidden="false" customHeight="false" outlineLevel="0" collapsed="false">
      <c r="A574" s="192" t="n">
        <f aca="false">RADIANS(MOD(B574-180,-360)+180)</f>
        <v>2.61799387799149</v>
      </c>
      <c r="B574" s="182" t="n">
        <v>150</v>
      </c>
      <c r="C574" s="1"/>
      <c r="D574" s="270" t="n">
        <f aca="false">DEGREES( ACOS( COS(D$563)  * ( 1 /  _xlfn.SEC($A574))))</f>
        <v>149.999999984885</v>
      </c>
      <c r="E574" s="210" t="n">
        <f aca="false">DEGREES( ACOS( COS(E$563)  * ( 1 /  _xlfn.SEC($A574))))</f>
        <v>146.774057796712</v>
      </c>
      <c r="F574" s="210" t="n">
        <f aca="false">DEGREES( ACOS( COS(F$563)  * ( 1 /  _xlfn.SEC($A574))))</f>
        <v>138.590377890729</v>
      </c>
      <c r="G574" s="210" t="n">
        <f aca="false">DEGREES( ACOS( COS(G$563)  * ( 1 /  _xlfn.SEC($A574))))</f>
        <v>127.761243907035</v>
      </c>
      <c r="H574" s="210" t="n">
        <f aca="false">DEGREES( ACOS( COS(H$563)  * ( 1 /  _xlfn.SEC($A574))))</f>
        <v>115.658906273255</v>
      </c>
      <c r="I574" s="210" t="n">
        <f aca="false">DEGREES( ACOS( COS(I$563)  * ( 1 /  _xlfn.SEC($A574))))</f>
        <v>102.952539642222</v>
      </c>
      <c r="J574" s="270" t="n">
        <f aca="false">DEGREES( ACOS( COS(J$563)  * ( 1 /  _xlfn.SEC($A574))))</f>
        <v>90</v>
      </c>
      <c r="K574" s="210" t="n">
        <f aca="false">DEGREES( ACOS( COS(K$563)  * ( 1 /  _xlfn.SEC($A574))))</f>
        <v>77.0474603577776</v>
      </c>
      <c r="L574" s="210" t="n">
        <f aca="false">DEGREES( ACOS( COS(L$563)  * ( 1 /  _xlfn.SEC($A574))))</f>
        <v>64.3410937267447</v>
      </c>
      <c r="M574" s="210" t="n">
        <f aca="false">DEGREES( ACOS( COS(M$563)  * ( 1 /  _xlfn.SEC($A574))))</f>
        <v>52.238756092965</v>
      </c>
      <c r="N574" s="210" t="n">
        <f aca="false">DEGREES( ACOS( COS(N$563)  * ( 1 /  _xlfn.SEC($A574))))</f>
        <v>41.4096221092709</v>
      </c>
      <c r="O574" s="210" t="n">
        <f aca="false">DEGREES( ACOS( COS(O$563)  * ( 1 /  _xlfn.SEC($A574))))</f>
        <v>33.2259422032876</v>
      </c>
      <c r="P574" s="270" t="n">
        <f aca="false">DEGREES( ACOS( COS(P$563)  * ( 1 /  _xlfn.SEC($A574))))</f>
        <v>30</v>
      </c>
      <c r="Q574" s="210" t="n">
        <f aca="false">DEGREES( ACOS( COS(Q$563)  * ( 1 /  _xlfn.SEC($A574))))</f>
        <v>33.2259422032876</v>
      </c>
      <c r="R574" s="210" t="n">
        <f aca="false">DEGREES( ACOS( COS(R$563)  * ( 1 /  _xlfn.SEC($A574))))</f>
        <v>41.4096221092709</v>
      </c>
      <c r="S574" s="210" t="n">
        <f aca="false">DEGREES( ACOS( COS(S$563)  * ( 1 /  _xlfn.SEC($A574))))</f>
        <v>52.238756092965</v>
      </c>
      <c r="T574" s="210" t="n">
        <f aca="false">DEGREES( ACOS( COS(T$563)  * ( 1 /  _xlfn.SEC($A574))))</f>
        <v>64.3410937267447</v>
      </c>
      <c r="U574" s="210" t="n">
        <f aca="false">DEGREES( ACOS( COS(U$563)  * ( 1 /  _xlfn.SEC($A574))))</f>
        <v>77.0474603577776</v>
      </c>
      <c r="V574" s="270" t="n">
        <f aca="false">DEGREES( ACOS( COS(V$563)  * ( 1 /  _xlfn.SEC($A574))))</f>
        <v>90</v>
      </c>
      <c r="W574" s="210" t="n">
        <f aca="false">DEGREES( ACOS( COS(W$563)  * ( 1 /  _xlfn.SEC($A574))))</f>
        <v>102.952539642222</v>
      </c>
      <c r="X574" s="210" t="n">
        <f aca="false">DEGREES( ACOS( COS(X$563)  * ( 1 /  _xlfn.SEC($A574))))</f>
        <v>115.658906273255</v>
      </c>
      <c r="Y574" s="210" t="n">
        <f aca="false">DEGREES( ACOS( COS(Y$563)  * ( 1 /  _xlfn.SEC($A574))))</f>
        <v>127.761243907035</v>
      </c>
      <c r="Z574" s="210" t="n">
        <f aca="false">DEGREES( ACOS( COS(Z$563)  * ( 1 /  _xlfn.SEC($A574))))</f>
        <v>138.590377890729</v>
      </c>
      <c r="AA574" s="210" t="n">
        <f aca="false">DEGREES( ACOS( COS(AA$563)  * ( 1 /  _xlfn.SEC($A574))))</f>
        <v>146.774057796712</v>
      </c>
      <c r="AB574" s="270" t="n">
        <f aca="false">DEGREES( ACOS( COS(AB$563)  * ( 1 /  _xlfn.SEC($A574))))</f>
        <v>149.999998488501</v>
      </c>
      <c r="AC574" s="195" t="n">
        <f aca="false">DEGREES( ACOS( COS(AC$563)  * ( 1 /  _xlfn.SEC($A574))))</f>
        <v>150</v>
      </c>
      <c r="AD574" s="195" t="n">
        <f aca="false">DEGREES( ACOS( COS(AD$563)  * ( 1 /  _xlfn.SEC($A574))))</f>
        <v>150</v>
      </c>
      <c r="AE574" s="1"/>
      <c r="AF574" s="1"/>
      <c r="AG574" s="1"/>
      <c r="AH574" s="1"/>
      <c r="AI574" s="1"/>
      <c r="AJ574" s="1"/>
      <c r="AK574" s="1"/>
      <c r="AL574" s="1"/>
    </row>
    <row r="575" customFormat="false" ht="12.8" hidden="false" customHeight="false" outlineLevel="0" collapsed="false">
      <c r="A575" s="192" t="n">
        <f aca="false">RADIANS(MOD(B575-180,-360)+180)</f>
        <v>2.87979326579064</v>
      </c>
      <c r="B575" s="182" t="n">
        <v>165</v>
      </c>
      <c r="C575" s="1"/>
      <c r="D575" s="270" t="n">
        <f aca="false">DEGREES( ACOS( COS(D$563)  * ( 1 /  _xlfn.SEC($A575))))</f>
        <v>164.999999967432</v>
      </c>
      <c r="E575" s="210" t="n">
        <f aca="false">DEGREES( ACOS( COS(E$563)  * ( 1 /  _xlfn.SEC($A575))))</f>
        <v>158.909418821001</v>
      </c>
      <c r="F575" s="210" t="n">
        <f aca="false">DEGREES( ACOS( COS(F$563)  * ( 1 /  _xlfn.SEC($A575))))</f>
        <v>146.774057796712</v>
      </c>
      <c r="G575" s="210" t="n">
        <f aca="false">DEGREES( ACOS( COS(G$563)  * ( 1 /  _xlfn.SEC($A575))))</f>
        <v>133.079517141871</v>
      </c>
      <c r="H575" s="210" t="n">
        <f aca="false">DEGREES( ACOS( COS(H$563)  * ( 1 /  _xlfn.SEC($A575))))</f>
        <v>118.879094017428</v>
      </c>
      <c r="I575" s="210" t="n">
        <f aca="false">DEGREES( ACOS( COS(I$563)  * ( 1 /  _xlfn.SEC($A575))))</f>
        <v>104.47751218593</v>
      </c>
      <c r="J575" s="270" t="n">
        <f aca="false">DEGREES( ACOS( COS(J$563)  * ( 1 /  _xlfn.SEC($A575))))</f>
        <v>90</v>
      </c>
      <c r="K575" s="210" t="n">
        <f aca="false">DEGREES( ACOS( COS(K$563)  * ( 1 /  _xlfn.SEC($A575))))</f>
        <v>75.5224878140701</v>
      </c>
      <c r="L575" s="210" t="n">
        <f aca="false">DEGREES( ACOS( COS(L$563)  * ( 1 /  _xlfn.SEC($A575))))</f>
        <v>61.1209059825724</v>
      </c>
      <c r="M575" s="210" t="n">
        <f aca="false">DEGREES( ACOS( COS(M$563)  * ( 1 /  _xlfn.SEC($A575))))</f>
        <v>46.9204828581291</v>
      </c>
      <c r="N575" s="210" t="n">
        <f aca="false">DEGREES( ACOS( COS(N$563)  * ( 1 /  _xlfn.SEC($A575))))</f>
        <v>33.2259422032876</v>
      </c>
      <c r="O575" s="210" t="n">
        <f aca="false">DEGREES( ACOS( COS(O$563)  * ( 1 /  _xlfn.SEC($A575))))</f>
        <v>21.0905811789991</v>
      </c>
      <c r="P575" s="270" t="n">
        <f aca="false">DEGREES( ACOS( COS(P$563)  * ( 1 /  _xlfn.SEC($A575))))</f>
        <v>15</v>
      </c>
      <c r="Q575" s="210" t="n">
        <f aca="false">DEGREES( ACOS( COS(Q$563)  * ( 1 /  _xlfn.SEC($A575))))</f>
        <v>21.0905811789991</v>
      </c>
      <c r="R575" s="210" t="n">
        <f aca="false">DEGREES( ACOS( COS(R$563)  * ( 1 /  _xlfn.SEC($A575))))</f>
        <v>33.2259422032876</v>
      </c>
      <c r="S575" s="210" t="n">
        <f aca="false">DEGREES( ACOS( COS(S$563)  * ( 1 /  _xlfn.SEC($A575))))</f>
        <v>46.9204828581291</v>
      </c>
      <c r="T575" s="210" t="n">
        <f aca="false">DEGREES( ACOS( COS(T$563)  * ( 1 /  _xlfn.SEC($A575))))</f>
        <v>61.1209059825724</v>
      </c>
      <c r="U575" s="210" t="n">
        <f aca="false">DEGREES( ACOS( COS(U$563)  * ( 1 /  _xlfn.SEC($A575))))</f>
        <v>75.5224878140701</v>
      </c>
      <c r="V575" s="270" t="n">
        <f aca="false">DEGREES( ACOS( COS(V$563)  * ( 1 /  _xlfn.SEC($A575))))</f>
        <v>90</v>
      </c>
      <c r="W575" s="210" t="n">
        <f aca="false">DEGREES( ACOS( COS(W$563)  * ( 1 /  _xlfn.SEC($A575))))</f>
        <v>104.47751218593</v>
      </c>
      <c r="X575" s="210" t="n">
        <f aca="false">DEGREES( ACOS( COS(X$563)  * ( 1 /  _xlfn.SEC($A575))))</f>
        <v>118.879094017428</v>
      </c>
      <c r="Y575" s="210" t="n">
        <f aca="false">DEGREES( ACOS( COS(Y$563)  * ( 1 /  _xlfn.SEC($A575))))</f>
        <v>133.079517141871</v>
      </c>
      <c r="Z575" s="210" t="n">
        <f aca="false">DEGREES( ACOS( COS(Z$563)  * ( 1 /  _xlfn.SEC($A575))))</f>
        <v>146.774057796712</v>
      </c>
      <c r="AA575" s="210" t="n">
        <f aca="false">DEGREES( ACOS( COS(AA$563)  * ( 1 /  _xlfn.SEC($A575))))</f>
        <v>158.909418821001</v>
      </c>
      <c r="AB575" s="270" t="n">
        <f aca="false">DEGREES( ACOS( COS(AB$563)  * ( 1 /  _xlfn.SEC($A575))))</f>
        <v>164.999996743172</v>
      </c>
      <c r="AC575" s="195" t="n">
        <f aca="false">DEGREES( ACOS( COS(AC$563)  * ( 1 /  _xlfn.SEC($A575))))</f>
        <v>165</v>
      </c>
      <c r="AD575" s="195" t="n">
        <f aca="false">DEGREES( ACOS( COS(AD$563)  * ( 1 /  _xlfn.SEC($A575))))</f>
        <v>165</v>
      </c>
      <c r="AE575" s="1"/>
      <c r="AF575" s="1"/>
      <c r="AG575" s="1"/>
      <c r="AH575" s="1"/>
      <c r="AI575" s="1"/>
      <c r="AJ575" s="1"/>
      <c r="AK575" s="1"/>
      <c r="AL575" s="1"/>
    </row>
    <row r="576" customFormat="false" ht="12.8" hidden="false" customHeight="false" outlineLevel="0" collapsed="false">
      <c r="A576" s="192" t="n">
        <f aca="false">RADIANS(MOD(B576-180,-360)+180)</f>
        <v>3.14159265358979</v>
      </c>
      <c r="B576" s="182" t="n">
        <v>180</v>
      </c>
      <c r="C576" s="1"/>
      <c r="D576" s="270" t="n">
        <f aca="false">DEGREES( ACOS( COS(D$563)  * ( 1 /  _xlfn.SEC($A576))))</f>
        <v>179.998999999963</v>
      </c>
      <c r="E576" s="270" t="n">
        <f aca="false">DEGREES( ACOS( COS(E$563)  * ( 1 /  _xlfn.SEC($A576))))</f>
        <v>165</v>
      </c>
      <c r="F576" s="270" t="n">
        <f aca="false">DEGREES( ACOS( COS(F$563)  * ( 1 /  _xlfn.SEC($A576))))</f>
        <v>150</v>
      </c>
      <c r="G576" s="270" t="n">
        <f aca="false">DEGREES( ACOS( COS(G$563)  * ( 1 /  _xlfn.SEC($A576))))</f>
        <v>135</v>
      </c>
      <c r="H576" s="270" t="n">
        <f aca="false">DEGREES( ACOS( COS(H$563)  * ( 1 /  _xlfn.SEC($A576))))</f>
        <v>120</v>
      </c>
      <c r="I576" s="270" t="n">
        <f aca="false">DEGREES( ACOS( COS(I$563)  * ( 1 /  _xlfn.SEC($A576))))</f>
        <v>105</v>
      </c>
      <c r="J576" s="270" t="n">
        <f aca="false">DEGREES( ACOS( COS(J$563)  * ( 1 /  _xlfn.SEC($A576))))</f>
        <v>90</v>
      </c>
      <c r="K576" s="270" t="n">
        <f aca="false">DEGREES( ACOS( COS(K$563)  * ( 1 /  _xlfn.SEC($A576))))</f>
        <v>75</v>
      </c>
      <c r="L576" s="270" t="n">
        <f aca="false">DEGREES( ACOS( COS(L$563)  * ( 1 /  _xlfn.SEC($A576))))</f>
        <v>60</v>
      </c>
      <c r="M576" s="270" t="n">
        <f aca="false">DEGREES( ACOS( COS(M$563)  * ( 1 /  _xlfn.SEC($A576))))</f>
        <v>45</v>
      </c>
      <c r="N576" s="270" t="n">
        <f aca="false">DEGREES( ACOS( COS(N$563)  * ( 1 /  _xlfn.SEC($A576))))</f>
        <v>30</v>
      </c>
      <c r="O576" s="270" t="n">
        <f aca="false">DEGREES( ACOS( COS(O$563)  * ( 1 /  _xlfn.SEC($A576))))</f>
        <v>15</v>
      </c>
      <c r="P576" s="270" t="n">
        <f aca="false">DEGREES( ACOS( COS(P$563)  * ( 1 /  _xlfn.SEC($A576))))</f>
        <v>0</v>
      </c>
      <c r="Q576" s="270" t="n">
        <f aca="false">DEGREES( ACOS( COS(Q$563)  * ( 1 /  _xlfn.SEC($A576))))</f>
        <v>15</v>
      </c>
      <c r="R576" s="270" t="n">
        <f aca="false">DEGREES( ACOS( COS(R$563)  * ( 1 /  _xlfn.SEC($A576))))</f>
        <v>30</v>
      </c>
      <c r="S576" s="270" t="n">
        <f aca="false">DEGREES( ACOS( COS(S$563)  * ( 1 /  _xlfn.SEC($A576))))</f>
        <v>45</v>
      </c>
      <c r="T576" s="270" t="n">
        <f aca="false">DEGREES( ACOS( COS(T$563)  * ( 1 /  _xlfn.SEC($A576))))</f>
        <v>60</v>
      </c>
      <c r="U576" s="270" t="n">
        <f aca="false">DEGREES( ACOS( COS(U$563)  * ( 1 /  _xlfn.SEC($A576))))</f>
        <v>75</v>
      </c>
      <c r="V576" s="270" t="n">
        <f aca="false">DEGREES( ACOS( COS(V$563)  * ( 1 /  _xlfn.SEC($A576))))</f>
        <v>90</v>
      </c>
      <c r="W576" s="270" t="n">
        <f aca="false">DEGREES( ACOS( COS(W$563)  * ( 1 /  _xlfn.SEC($A576))))</f>
        <v>105</v>
      </c>
      <c r="X576" s="270" t="n">
        <f aca="false">DEGREES( ACOS( COS(X$563)  * ( 1 /  _xlfn.SEC($A576))))</f>
        <v>120</v>
      </c>
      <c r="Y576" s="270" t="n">
        <f aca="false">DEGREES( ACOS( COS(Y$563)  * ( 1 /  _xlfn.SEC($A576))))</f>
        <v>135</v>
      </c>
      <c r="Z576" s="270" t="n">
        <f aca="false">DEGREES( ACOS( COS(Z$563)  * ( 1 /  _xlfn.SEC($A576))))</f>
        <v>150</v>
      </c>
      <c r="AA576" s="270" t="n">
        <f aca="false">DEGREES( ACOS( COS(AA$563)  * ( 1 /  _xlfn.SEC($A576))))</f>
        <v>165</v>
      </c>
      <c r="AB576" s="270" t="n">
        <f aca="false">DEGREES( ACOS( COS(AB$563)  * ( 1 /  _xlfn.SEC($A576))))</f>
        <v>179.990000000017</v>
      </c>
      <c r="AC576" s="195" t="n">
        <f aca="false">DEGREES( ACOS( COS(AC$563)  * ( 1 /  _xlfn.SEC($A576))))</f>
        <v>180</v>
      </c>
      <c r="AD576" s="195" t="n">
        <f aca="false">DEGREES( ACOS( COS(AD$563)  * ( 1 /  _xlfn.SEC($A576))))</f>
        <v>180</v>
      </c>
      <c r="AE576" s="1"/>
      <c r="AF576" s="1"/>
      <c r="AG576" s="1"/>
      <c r="AH576" s="1"/>
      <c r="AI576" s="1"/>
      <c r="AJ576" s="1"/>
      <c r="AK576" s="1"/>
      <c r="AL576" s="1"/>
    </row>
    <row r="577" customFormat="false" ht="12.8" hidden="false" customHeight="false" outlineLevel="0" collapsed="false">
      <c r="A577" s="193" t="n">
        <f aca="false">RADIANS(MOD(B577-180,-360)+180)</f>
        <v>-2.87979326579064</v>
      </c>
      <c r="B577" s="182" t="n">
        <v>195</v>
      </c>
      <c r="C577" s="1"/>
      <c r="D577" s="270" t="n">
        <f aca="false">DEGREES( ACOS( COS(D$563)  * ( 1 /  _xlfn.SEC($A577))))</f>
        <v>164.999999967432</v>
      </c>
      <c r="E577" s="210" t="n">
        <f aca="false">DEGREES( ACOS( COS(E$563)  * ( 1 /  _xlfn.SEC($A577))))</f>
        <v>158.909418821001</v>
      </c>
      <c r="F577" s="210" t="n">
        <f aca="false">DEGREES( ACOS( COS(F$563)  * ( 1 /  _xlfn.SEC($A577))))</f>
        <v>146.774057796712</v>
      </c>
      <c r="G577" s="210" t="n">
        <f aca="false">DEGREES( ACOS( COS(G$563)  * ( 1 /  _xlfn.SEC($A577))))</f>
        <v>133.079517141871</v>
      </c>
      <c r="H577" s="210" t="n">
        <f aca="false">DEGREES( ACOS( COS(H$563)  * ( 1 /  _xlfn.SEC($A577))))</f>
        <v>118.879094017428</v>
      </c>
      <c r="I577" s="210" t="n">
        <f aca="false">DEGREES( ACOS( COS(I$563)  * ( 1 /  _xlfn.SEC($A577))))</f>
        <v>104.47751218593</v>
      </c>
      <c r="J577" s="270" t="n">
        <f aca="false">DEGREES( ACOS( COS(J$563)  * ( 1 /  _xlfn.SEC($A577))))</f>
        <v>90</v>
      </c>
      <c r="K577" s="210" t="n">
        <f aca="false">DEGREES( ACOS( COS(K$563)  * ( 1 /  _xlfn.SEC($A577))))</f>
        <v>75.5224878140701</v>
      </c>
      <c r="L577" s="210" t="n">
        <f aca="false">DEGREES( ACOS( COS(L$563)  * ( 1 /  _xlfn.SEC($A577))))</f>
        <v>61.1209059825724</v>
      </c>
      <c r="M577" s="210" t="n">
        <f aca="false">DEGREES( ACOS( COS(M$563)  * ( 1 /  _xlfn.SEC($A577))))</f>
        <v>46.9204828581291</v>
      </c>
      <c r="N577" s="210" t="n">
        <f aca="false">DEGREES( ACOS( COS(N$563)  * ( 1 /  _xlfn.SEC($A577))))</f>
        <v>33.2259422032876</v>
      </c>
      <c r="O577" s="210" t="n">
        <f aca="false">DEGREES( ACOS( COS(O$563)  * ( 1 /  _xlfn.SEC($A577))))</f>
        <v>21.0905811789991</v>
      </c>
      <c r="P577" s="270" t="n">
        <f aca="false">DEGREES( ACOS( COS(P$563)  * ( 1 /  _xlfn.SEC($A577))))</f>
        <v>15</v>
      </c>
      <c r="Q577" s="210" t="n">
        <f aca="false">DEGREES( ACOS( COS(Q$563)  * ( 1 /  _xlfn.SEC($A577))))</f>
        <v>21.0905811789991</v>
      </c>
      <c r="R577" s="210" t="n">
        <f aca="false">DEGREES( ACOS( COS(R$563)  * ( 1 /  _xlfn.SEC($A577))))</f>
        <v>33.2259422032876</v>
      </c>
      <c r="S577" s="210" t="n">
        <f aca="false">DEGREES( ACOS( COS(S$563)  * ( 1 /  _xlfn.SEC($A577))))</f>
        <v>46.9204828581291</v>
      </c>
      <c r="T577" s="210" t="n">
        <f aca="false">DEGREES( ACOS( COS(T$563)  * ( 1 /  _xlfn.SEC($A577))))</f>
        <v>61.1209059825724</v>
      </c>
      <c r="U577" s="210" t="n">
        <f aca="false">DEGREES( ACOS( COS(U$563)  * ( 1 /  _xlfn.SEC($A577))))</f>
        <v>75.5224878140701</v>
      </c>
      <c r="V577" s="270" t="n">
        <f aca="false">DEGREES( ACOS( COS(V$563)  * ( 1 /  _xlfn.SEC($A577))))</f>
        <v>90</v>
      </c>
      <c r="W577" s="210" t="n">
        <f aca="false">DEGREES( ACOS( COS(W$563)  * ( 1 /  _xlfn.SEC($A577))))</f>
        <v>104.47751218593</v>
      </c>
      <c r="X577" s="210" t="n">
        <f aca="false">DEGREES( ACOS( COS(X$563)  * ( 1 /  _xlfn.SEC($A577))))</f>
        <v>118.879094017428</v>
      </c>
      <c r="Y577" s="210" t="n">
        <f aca="false">DEGREES( ACOS( COS(Y$563)  * ( 1 /  _xlfn.SEC($A577))))</f>
        <v>133.079517141871</v>
      </c>
      <c r="Z577" s="210" t="n">
        <f aca="false">DEGREES( ACOS( COS(Z$563)  * ( 1 /  _xlfn.SEC($A577))))</f>
        <v>146.774057796712</v>
      </c>
      <c r="AA577" s="210" t="n">
        <f aca="false">DEGREES( ACOS( COS(AA$563)  * ( 1 /  _xlfn.SEC($A577))))</f>
        <v>158.909418821001</v>
      </c>
      <c r="AB577" s="270" t="n">
        <f aca="false">DEGREES( ACOS( COS(AB$563)  * ( 1 /  _xlfn.SEC($A577))))</f>
        <v>164.999996743172</v>
      </c>
      <c r="AC577" s="195" t="n">
        <f aca="false">DEGREES( ACOS( COS(AC$563)  * ( 1 /  _xlfn.SEC($A577))))</f>
        <v>165</v>
      </c>
      <c r="AD577" s="195" t="n">
        <f aca="false">DEGREES( ACOS( COS(AD$563)  * ( 1 /  _xlfn.SEC($A577))))</f>
        <v>165</v>
      </c>
      <c r="AE577" s="1"/>
      <c r="AF577" s="1"/>
      <c r="AG577" s="1"/>
      <c r="AH577" s="1"/>
      <c r="AI577" s="1"/>
      <c r="AJ577" s="1"/>
      <c r="AK577" s="1"/>
      <c r="AL577" s="1"/>
    </row>
    <row r="578" customFormat="false" ht="12.8" hidden="false" customHeight="false" outlineLevel="0" collapsed="false">
      <c r="A578" s="193" t="n">
        <f aca="false">RADIANS(MOD(B578-180,-360)+180)</f>
        <v>-2.61799387799149</v>
      </c>
      <c r="B578" s="182" t="n">
        <v>210</v>
      </c>
      <c r="C578" s="1"/>
      <c r="D578" s="270" t="n">
        <f aca="false">DEGREES( ACOS( COS(D$563)  * ( 1 /  _xlfn.SEC($A578))))</f>
        <v>149.999999984885</v>
      </c>
      <c r="E578" s="210" t="n">
        <f aca="false">DEGREES( ACOS( COS(E$563)  * ( 1 /  _xlfn.SEC($A578))))</f>
        <v>146.774057796712</v>
      </c>
      <c r="F578" s="210" t="n">
        <f aca="false">DEGREES( ACOS( COS(F$563)  * ( 1 /  _xlfn.SEC($A578))))</f>
        <v>138.590377890729</v>
      </c>
      <c r="G578" s="210" t="n">
        <f aca="false">DEGREES( ACOS( COS(G$563)  * ( 1 /  _xlfn.SEC($A578))))</f>
        <v>127.761243907035</v>
      </c>
      <c r="H578" s="210" t="n">
        <f aca="false">DEGREES( ACOS( COS(H$563)  * ( 1 /  _xlfn.SEC($A578))))</f>
        <v>115.658906273255</v>
      </c>
      <c r="I578" s="210" t="n">
        <f aca="false">DEGREES( ACOS( COS(I$563)  * ( 1 /  _xlfn.SEC($A578))))</f>
        <v>102.952539642222</v>
      </c>
      <c r="J578" s="270" t="n">
        <f aca="false">DEGREES( ACOS( COS(J$563)  * ( 1 /  _xlfn.SEC($A578))))</f>
        <v>90</v>
      </c>
      <c r="K578" s="210" t="n">
        <f aca="false">DEGREES( ACOS( COS(K$563)  * ( 1 /  _xlfn.SEC($A578))))</f>
        <v>77.0474603577776</v>
      </c>
      <c r="L578" s="210" t="n">
        <f aca="false">DEGREES( ACOS( COS(L$563)  * ( 1 /  _xlfn.SEC($A578))))</f>
        <v>64.3410937267447</v>
      </c>
      <c r="M578" s="210" t="n">
        <f aca="false">DEGREES( ACOS( COS(M$563)  * ( 1 /  _xlfn.SEC($A578))))</f>
        <v>52.238756092965</v>
      </c>
      <c r="N578" s="210" t="n">
        <f aca="false">DEGREES( ACOS( COS(N$563)  * ( 1 /  _xlfn.SEC($A578))))</f>
        <v>41.4096221092709</v>
      </c>
      <c r="O578" s="210" t="n">
        <f aca="false">DEGREES( ACOS( COS(O$563)  * ( 1 /  _xlfn.SEC($A578))))</f>
        <v>33.2259422032876</v>
      </c>
      <c r="P578" s="270" t="n">
        <f aca="false">DEGREES( ACOS( COS(P$563)  * ( 1 /  _xlfn.SEC($A578))))</f>
        <v>30</v>
      </c>
      <c r="Q578" s="210" t="n">
        <f aca="false">DEGREES( ACOS( COS(Q$563)  * ( 1 /  _xlfn.SEC($A578))))</f>
        <v>33.2259422032876</v>
      </c>
      <c r="R578" s="210" t="n">
        <f aca="false">DEGREES( ACOS( COS(R$563)  * ( 1 /  _xlfn.SEC($A578))))</f>
        <v>41.4096221092709</v>
      </c>
      <c r="S578" s="210" t="n">
        <f aca="false">DEGREES( ACOS( COS(S$563)  * ( 1 /  _xlfn.SEC($A578))))</f>
        <v>52.238756092965</v>
      </c>
      <c r="T578" s="210" t="n">
        <f aca="false">DEGREES( ACOS( COS(T$563)  * ( 1 /  _xlfn.SEC($A578))))</f>
        <v>64.3410937267447</v>
      </c>
      <c r="U578" s="210" t="n">
        <f aca="false">DEGREES( ACOS( COS(U$563)  * ( 1 /  _xlfn.SEC($A578))))</f>
        <v>77.0474603577776</v>
      </c>
      <c r="V578" s="270" t="n">
        <f aca="false">DEGREES( ACOS( COS(V$563)  * ( 1 /  _xlfn.SEC($A578))))</f>
        <v>90</v>
      </c>
      <c r="W578" s="210" t="n">
        <f aca="false">DEGREES( ACOS( COS(W$563)  * ( 1 /  _xlfn.SEC($A578))))</f>
        <v>102.952539642222</v>
      </c>
      <c r="X578" s="210" t="n">
        <f aca="false">DEGREES( ACOS( COS(X$563)  * ( 1 /  _xlfn.SEC($A578))))</f>
        <v>115.658906273255</v>
      </c>
      <c r="Y578" s="210" t="n">
        <f aca="false">DEGREES( ACOS( COS(Y$563)  * ( 1 /  _xlfn.SEC($A578))))</f>
        <v>127.761243907035</v>
      </c>
      <c r="Z578" s="210" t="n">
        <f aca="false">DEGREES( ACOS( COS(Z$563)  * ( 1 /  _xlfn.SEC($A578))))</f>
        <v>138.590377890729</v>
      </c>
      <c r="AA578" s="210" t="n">
        <f aca="false">DEGREES( ACOS( COS(AA$563)  * ( 1 /  _xlfn.SEC($A578))))</f>
        <v>146.774057796712</v>
      </c>
      <c r="AB578" s="270" t="n">
        <f aca="false">DEGREES( ACOS( COS(AB$563)  * ( 1 /  _xlfn.SEC($A578))))</f>
        <v>149.999998488501</v>
      </c>
      <c r="AC578" s="195" t="n">
        <f aca="false">DEGREES( ACOS( COS(AC$563)  * ( 1 /  _xlfn.SEC($A578))))</f>
        <v>150</v>
      </c>
      <c r="AD578" s="195" t="n">
        <f aca="false">DEGREES( ACOS( COS(AD$563)  * ( 1 /  _xlfn.SEC($A578))))</f>
        <v>150</v>
      </c>
      <c r="AE578" s="1"/>
      <c r="AF578" s="1"/>
      <c r="AG578" s="1"/>
      <c r="AH578" s="1"/>
      <c r="AI578" s="1"/>
      <c r="AJ578" s="1"/>
      <c r="AK578" s="1"/>
      <c r="AL578" s="1"/>
    </row>
    <row r="579" customFormat="false" ht="12.8" hidden="false" customHeight="false" outlineLevel="0" collapsed="false">
      <c r="A579" s="193" t="n">
        <f aca="false">RADIANS(MOD(B579-180,-360)+180)</f>
        <v>-2.35619449019234</v>
      </c>
      <c r="B579" s="182" t="n">
        <v>225</v>
      </c>
      <c r="C579" s="1"/>
      <c r="D579" s="270" t="n">
        <f aca="false">DEGREES( ACOS( COS(D$563)  * ( 1 /  _xlfn.SEC($A579))))</f>
        <v>134.999999991273</v>
      </c>
      <c r="E579" s="210" t="n">
        <f aca="false">DEGREES( ACOS( COS(E$563)  * ( 1 /  _xlfn.SEC($A579))))</f>
        <v>133.079517141871</v>
      </c>
      <c r="F579" s="210" t="n">
        <f aca="false">DEGREES( ACOS( COS(F$563)  * ( 1 /  _xlfn.SEC($A579))))</f>
        <v>127.761243907035</v>
      </c>
      <c r="G579" s="210" t="n">
        <f aca="false">DEGREES( ACOS( COS(G$563)  * ( 1 /  _xlfn.SEC($A579))))</f>
        <v>120</v>
      </c>
      <c r="H579" s="210" t="n">
        <f aca="false">DEGREES( ACOS( COS(H$563)  * ( 1 /  _xlfn.SEC($A579))))</f>
        <v>110.704811054635</v>
      </c>
      <c r="I579" s="210" t="n">
        <f aca="false">DEGREES( ACOS( COS(I$563)  * ( 1 /  _xlfn.SEC($A579))))</f>
        <v>100.5452905895</v>
      </c>
      <c r="J579" s="270" t="n">
        <f aca="false">DEGREES( ACOS( COS(J$563)  * ( 1 /  _xlfn.SEC($A579))))</f>
        <v>90</v>
      </c>
      <c r="K579" s="210" t="n">
        <f aca="false">DEGREES( ACOS( COS(K$563)  * ( 1 /  _xlfn.SEC($A579))))</f>
        <v>79.4547094105004</v>
      </c>
      <c r="L579" s="210" t="n">
        <f aca="false">DEGREES( ACOS( COS(L$563)  * ( 1 /  _xlfn.SEC($A579))))</f>
        <v>69.2951889453646</v>
      </c>
      <c r="M579" s="210" t="n">
        <f aca="false">DEGREES( ACOS( COS(M$563)  * ( 1 /  _xlfn.SEC($A579))))</f>
        <v>60</v>
      </c>
      <c r="N579" s="210" t="n">
        <f aca="false">DEGREES( ACOS( COS(N$563)  * ( 1 /  _xlfn.SEC($A579))))</f>
        <v>52.238756092965</v>
      </c>
      <c r="O579" s="210" t="n">
        <f aca="false">DEGREES( ACOS( COS(O$563)  * ( 1 /  _xlfn.SEC($A579))))</f>
        <v>46.9204828581291</v>
      </c>
      <c r="P579" s="270" t="n">
        <f aca="false">DEGREES( ACOS( COS(P$563)  * ( 1 /  _xlfn.SEC($A579))))</f>
        <v>45</v>
      </c>
      <c r="Q579" s="210" t="n">
        <f aca="false">DEGREES( ACOS( COS(Q$563)  * ( 1 /  _xlfn.SEC($A579))))</f>
        <v>46.9204828581291</v>
      </c>
      <c r="R579" s="210" t="n">
        <f aca="false">DEGREES( ACOS( COS(R$563)  * ( 1 /  _xlfn.SEC($A579))))</f>
        <v>52.238756092965</v>
      </c>
      <c r="S579" s="210" t="n">
        <f aca="false">DEGREES( ACOS( COS(S$563)  * ( 1 /  _xlfn.SEC($A579))))</f>
        <v>60</v>
      </c>
      <c r="T579" s="210" t="n">
        <f aca="false">DEGREES( ACOS( COS(T$563)  * ( 1 /  _xlfn.SEC($A579))))</f>
        <v>69.2951889453646</v>
      </c>
      <c r="U579" s="210" t="n">
        <f aca="false">DEGREES( ACOS( COS(U$563)  * ( 1 /  _xlfn.SEC($A579))))</f>
        <v>79.4547094105004</v>
      </c>
      <c r="V579" s="270" t="n">
        <f aca="false">DEGREES( ACOS( COS(V$563)  * ( 1 /  _xlfn.SEC($A579))))</f>
        <v>90</v>
      </c>
      <c r="W579" s="210" t="n">
        <f aca="false">DEGREES( ACOS( COS(W$563)  * ( 1 /  _xlfn.SEC($A579))))</f>
        <v>100.5452905895</v>
      </c>
      <c r="X579" s="210" t="n">
        <f aca="false">DEGREES( ACOS( COS(X$563)  * ( 1 /  _xlfn.SEC($A579))))</f>
        <v>110.704811054635</v>
      </c>
      <c r="Y579" s="210" t="n">
        <f aca="false">DEGREES( ACOS( COS(Y$563)  * ( 1 /  _xlfn.SEC($A579))))</f>
        <v>120</v>
      </c>
      <c r="Z579" s="210" t="n">
        <f aca="false">DEGREES( ACOS( COS(Z$563)  * ( 1 /  _xlfn.SEC($A579))))</f>
        <v>127.761243907035</v>
      </c>
      <c r="AA579" s="210" t="n">
        <f aca="false">DEGREES( ACOS( COS(AA$563)  * ( 1 /  _xlfn.SEC($A579))))</f>
        <v>133.079517141871</v>
      </c>
      <c r="AB579" s="270" t="n">
        <f aca="false">DEGREES( ACOS( COS(AB$563)  * ( 1 /  _xlfn.SEC($A579))))</f>
        <v>134.999999127335</v>
      </c>
      <c r="AC579" s="195" t="n">
        <f aca="false">DEGREES( ACOS( COS(AC$563)  * ( 1 /  _xlfn.SEC($A579))))</f>
        <v>135</v>
      </c>
      <c r="AD579" s="195" t="n">
        <f aca="false">DEGREES( ACOS( COS(AD$563)  * ( 1 /  _xlfn.SEC($A579))))</f>
        <v>135</v>
      </c>
      <c r="AE579" s="1"/>
      <c r="AF579" s="1"/>
      <c r="AG579" s="1"/>
      <c r="AH579" s="1"/>
      <c r="AI579" s="1"/>
      <c r="AJ579" s="1"/>
      <c r="AK579" s="1"/>
      <c r="AL579" s="1"/>
    </row>
    <row r="580" customFormat="false" ht="12.8" hidden="false" customHeight="false" outlineLevel="0" collapsed="false">
      <c r="A580" s="193" t="n">
        <f aca="false">RADIANS(MOD(B580-180,-360)+180)</f>
        <v>-2.0943951023932</v>
      </c>
      <c r="B580" s="182" t="n">
        <v>240</v>
      </c>
      <c r="C580" s="1"/>
      <c r="D580" s="270" t="n">
        <f aca="false">DEGREES( ACOS( COS(D$563)  * ( 1 /  _xlfn.SEC($A580))))</f>
        <v>119.999999994962</v>
      </c>
      <c r="E580" s="210" t="n">
        <f aca="false">DEGREES( ACOS( COS(E$563)  * ( 1 /  _xlfn.SEC($A580))))</f>
        <v>118.879094017428</v>
      </c>
      <c r="F580" s="210" t="n">
        <f aca="false">DEGREES( ACOS( COS(F$563)  * ( 1 /  _xlfn.SEC($A580))))</f>
        <v>115.658906273255</v>
      </c>
      <c r="G580" s="210" t="n">
        <f aca="false">DEGREES( ACOS( COS(G$563)  * ( 1 /  _xlfn.SEC($A580))))</f>
        <v>110.704811054635</v>
      </c>
      <c r="H580" s="210" t="n">
        <f aca="false">DEGREES( ACOS( COS(H$563)  * ( 1 /  _xlfn.SEC($A580))))</f>
        <v>104.47751218593</v>
      </c>
      <c r="I580" s="210" t="n">
        <f aca="false">DEGREES( ACOS( COS(I$563)  * ( 1 /  _xlfn.SEC($A580))))</f>
        <v>97.4354722261319</v>
      </c>
      <c r="J580" s="270" t="n">
        <f aca="false">DEGREES( ACOS( COS(J$563)  * ( 1 /  _xlfn.SEC($A580))))</f>
        <v>90</v>
      </c>
      <c r="K580" s="210" t="n">
        <f aca="false">DEGREES( ACOS( COS(K$563)  * ( 1 /  _xlfn.SEC($A580))))</f>
        <v>82.5645277738682</v>
      </c>
      <c r="L580" s="210" t="n">
        <f aca="false">DEGREES( ACOS( COS(L$563)  * ( 1 /  _xlfn.SEC($A580))))</f>
        <v>75.5224878140701</v>
      </c>
      <c r="M580" s="210" t="n">
        <f aca="false">DEGREES( ACOS( COS(M$563)  * ( 1 /  _xlfn.SEC($A580))))</f>
        <v>69.2951889453646</v>
      </c>
      <c r="N580" s="210" t="n">
        <f aca="false">DEGREES( ACOS( COS(N$563)  * ( 1 /  _xlfn.SEC($A580))))</f>
        <v>64.3410937267447</v>
      </c>
      <c r="O580" s="210" t="n">
        <f aca="false">DEGREES( ACOS( COS(O$563)  * ( 1 /  _xlfn.SEC($A580))))</f>
        <v>61.1209059825724</v>
      </c>
      <c r="P580" s="270" t="n">
        <f aca="false">DEGREES( ACOS( COS(P$563)  * ( 1 /  _xlfn.SEC($A580))))</f>
        <v>60</v>
      </c>
      <c r="Q580" s="210" t="n">
        <f aca="false">DEGREES( ACOS( COS(Q$563)  * ( 1 /  _xlfn.SEC($A580))))</f>
        <v>61.1209059825724</v>
      </c>
      <c r="R580" s="210" t="n">
        <f aca="false">DEGREES( ACOS( COS(R$563)  * ( 1 /  _xlfn.SEC($A580))))</f>
        <v>64.3410937267447</v>
      </c>
      <c r="S580" s="210" t="n">
        <f aca="false">DEGREES( ACOS( COS(S$563)  * ( 1 /  _xlfn.SEC($A580))))</f>
        <v>69.2951889453646</v>
      </c>
      <c r="T580" s="210" t="n">
        <f aca="false">DEGREES( ACOS( COS(T$563)  * ( 1 /  _xlfn.SEC($A580))))</f>
        <v>75.5224878140701</v>
      </c>
      <c r="U580" s="210" t="n">
        <f aca="false">DEGREES( ACOS( COS(U$563)  * ( 1 /  _xlfn.SEC($A580))))</f>
        <v>82.5645277738682</v>
      </c>
      <c r="V580" s="270" t="n">
        <f aca="false">DEGREES( ACOS( COS(V$563)  * ( 1 /  _xlfn.SEC($A580))))</f>
        <v>90</v>
      </c>
      <c r="W580" s="210" t="n">
        <f aca="false">DEGREES( ACOS( COS(W$563)  * ( 1 /  _xlfn.SEC($A580))))</f>
        <v>97.4354722261319</v>
      </c>
      <c r="X580" s="210" t="n">
        <f aca="false">DEGREES( ACOS( COS(X$563)  * ( 1 /  _xlfn.SEC($A580))))</f>
        <v>104.47751218593</v>
      </c>
      <c r="Y580" s="210" t="n">
        <f aca="false">DEGREES( ACOS( COS(Y$563)  * ( 1 /  _xlfn.SEC($A580))))</f>
        <v>110.704811054635</v>
      </c>
      <c r="Z580" s="210" t="n">
        <f aca="false">DEGREES( ACOS( COS(Z$563)  * ( 1 /  _xlfn.SEC($A580))))</f>
        <v>115.658906273255</v>
      </c>
      <c r="AA580" s="210" t="n">
        <f aca="false">DEGREES( ACOS( COS(AA$563)  * ( 1 /  _xlfn.SEC($A580))))</f>
        <v>118.879094017428</v>
      </c>
      <c r="AB580" s="270" t="n">
        <f aca="false">DEGREES( ACOS( COS(AB$563)  * ( 1 /  _xlfn.SEC($A580))))</f>
        <v>119.999999496167</v>
      </c>
      <c r="AC580" s="195" t="n">
        <f aca="false">DEGREES( ACOS( COS(AC$563)  * ( 1 /  _xlfn.SEC($A580))))</f>
        <v>120</v>
      </c>
      <c r="AD580" s="195" t="n">
        <f aca="false">DEGREES( ACOS( COS(AD$563)  * ( 1 /  _xlfn.SEC($A580))))</f>
        <v>120</v>
      </c>
      <c r="AE580" s="1"/>
      <c r="AF580" s="1"/>
      <c r="AG580" s="1"/>
      <c r="AH580" s="1"/>
      <c r="AI580" s="1"/>
      <c r="AJ580" s="1"/>
      <c r="AK580" s="1"/>
      <c r="AL580" s="1"/>
    </row>
    <row r="581" customFormat="false" ht="12.8" hidden="false" customHeight="false" outlineLevel="0" collapsed="false">
      <c r="A581" s="193" t="n">
        <f aca="false">RADIANS(MOD(B581-180,-360)+180)</f>
        <v>-1.83259571459405</v>
      </c>
      <c r="B581" s="182" t="n">
        <v>255</v>
      </c>
      <c r="C581" s="1"/>
      <c r="D581" s="270" t="n">
        <f aca="false">DEGREES( ACOS( COS(D$563)  * ( 1 /  _xlfn.SEC($A581))))</f>
        <v>104.999999997662</v>
      </c>
      <c r="E581" s="210" t="n">
        <f aca="false">DEGREES( ACOS( COS(E$563)  * ( 1 /  _xlfn.SEC($A581))))</f>
        <v>104.47751218593</v>
      </c>
      <c r="F581" s="210" t="n">
        <f aca="false">DEGREES( ACOS( COS(F$563)  * ( 1 /  _xlfn.SEC($A581))))</f>
        <v>102.952539642222</v>
      </c>
      <c r="G581" s="210" t="n">
        <f aca="false">DEGREES( ACOS( COS(G$563)  * ( 1 /  _xlfn.SEC($A581))))</f>
        <v>100.5452905895</v>
      </c>
      <c r="H581" s="210" t="n">
        <f aca="false">DEGREES( ACOS( COS(H$563)  * ( 1 /  _xlfn.SEC($A581))))</f>
        <v>97.4354722261319</v>
      </c>
      <c r="I581" s="210" t="n">
        <f aca="false">DEGREES( ACOS( COS(I$563)  * ( 1 /  _xlfn.SEC($A581))))</f>
        <v>93.8409657162582</v>
      </c>
      <c r="J581" s="270" t="n">
        <f aca="false">DEGREES( ACOS( COS(J$563)  * ( 1 /  _xlfn.SEC($A581))))</f>
        <v>90</v>
      </c>
      <c r="K581" s="210" t="n">
        <f aca="false">DEGREES( ACOS( COS(K$563)  * ( 1 /  _xlfn.SEC($A581))))</f>
        <v>86.1590342837419</v>
      </c>
      <c r="L581" s="210" t="n">
        <f aca="false">DEGREES( ACOS( COS(L$563)  * ( 1 /  _xlfn.SEC($A581))))</f>
        <v>82.5645277738682</v>
      </c>
      <c r="M581" s="210" t="n">
        <f aca="false">DEGREES( ACOS( COS(M$563)  * ( 1 /  _xlfn.SEC($A581))))</f>
        <v>79.4547094105004</v>
      </c>
      <c r="N581" s="210" t="n">
        <f aca="false">DEGREES( ACOS( COS(N$563)  * ( 1 /  _xlfn.SEC($A581))))</f>
        <v>77.0474603577776</v>
      </c>
      <c r="O581" s="210" t="n">
        <f aca="false">DEGREES( ACOS( COS(O$563)  * ( 1 /  _xlfn.SEC($A581))))</f>
        <v>75.5224878140701</v>
      </c>
      <c r="P581" s="270" t="n">
        <f aca="false">DEGREES( ACOS( COS(P$563)  * ( 1 /  _xlfn.SEC($A581))))</f>
        <v>75</v>
      </c>
      <c r="Q581" s="210" t="n">
        <f aca="false">DEGREES( ACOS( COS(Q$563)  * ( 1 /  _xlfn.SEC($A581))))</f>
        <v>75.5224878140701</v>
      </c>
      <c r="R581" s="210" t="n">
        <f aca="false">DEGREES( ACOS( COS(R$563)  * ( 1 /  _xlfn.SEC($A581))))</f>
        <v>77.0474603577776</v>
      </c>
      <c r="S581" s="210" t="n">
        <f aca="false">DEGREES( ACOS( COS(S$563)  * ( 1 /  _xlfn.SEC($A581))))</f>
        <v>79.4547094105004</v>
      </c>
      <c r="T581" s="210" t="n">
        <f aca="false">DEGREES( ACOS( COS(T$563)  * ( 1 /  _xlfn.SEC($A581))))</f>
        <v>82.5645277738682</v>
      </c>
      <c r="U581" s="210" t="n">
        <f aca="false">DEGREES( ACOS( COS(U$563)  * ( 1 /  _xlfn.SEC($A581))))</f>
        <v>86.1590342837419</v>
      </c>
      <c r="V581" s="270" t="n">
        <f aca="false">DEGREES( ACOS( COS(V$563)  * ( 1 /  _xlfn.SEC($A581))))</f>
        <v>90</v>
      </c>
      <c r="W581" s="210" t="n">
        <f aca="false">DEGREES( ACOS( COS(W$563)  * ( 1 /  _xlfn.SEC($A581))))</f>
        <v>93.8409657162582</v>
      </c>
      <c r="X581" s="210" t="n">
        <f aca="false">DEGREES( ACOS( COS(X$563)  * ( 1 /  _xlfn.SEC($A581))))</f>
        <v>97.4354722261319</v>
      </c>
      <c r="Y581" s="210" t="n">
        <f aca="false">DEGREES( ACOS( COS(Y$563)  * ( 1 /  _xlfn.SEC($A581))))</f>
        <v>100.5452905895</v>
      </c>
      <c r="Z581" s="210" t="n">
        <f aca="false">DEGREES( ACOS( COS(Z$563)  * ( 1 /  _xlfn.SEC($A581))))</f>
        <v>102.952539642222</v>
      </c>
      <c r="AA581" s="210" t="n">
        <f aca="false">DEGREES( ACOS( COS(AA$563)  * ( 1 /  _xlfn.SEC($A581))))</f>
        <v>104.47751218593</v>
      </c>
      <c r="AB581" s="270" t="n">
        <f aca="false">DEGREES( ACOS( COS(AB$563)  * ( 1 /  _xlfn.SEC($A581))))</f>
        <v>104.99999976617</v>
      </c>
      <c r="AC581" s="195" t="n">
        <f aca="false">DEGREES( ACOS( COS(AC$563)  * ( 1 /  _xlfn.SEC($A581))))</f>
        <v>105</v>
      </c>
      <c r="AD581" s="195" t="n">
        <f aca="false">DEGREES( ACOS( COS(AD$563)  * ( 1 /  _xlfn.SEC($A581))))</f>
        <v>105</v>
      </c>
      <c r="AE581" s="1"/>
      <c r="AF581" s="1"/>
      <c r="AG581" s="1"/>
      <c r="AH581" s="1"/>
      <c r="AI581" s="1"/>
      <c r="AJ581" s="1"/>
      <c r="AK581" s="1"/>
      <c r="AL581" s="1"/>
    </row>
    <row r="582" customFormat="false" ht="12.8" hidden="false" customHeight="false" outlineLevel="0" collapsed="false">
      <c r="A582" s="193" t="n">
        <f aca="false">RADIANS(MOD(B582-180,-360)+180)</f>
        <v>-1.5707963267949</v>
      </c>
      <c r="B582" s="182" t="n">
        <v>270</v>
      </c>
      <c r="C582" s="1"/>
      <c r="D582" s="270" t="n">
        <f aca="false">DEGREES( ACOS( COS(D$563)  * ( 1 /  _xlfn.SEC($A582))))</f>
        <v>90</v>
      </c>
      <c r="E582" s="270" t="n">
        <f aca="false">DEGREES( ACOS( COS(E$563)  * ( 1 /  _xlfn.SEC($A582))))</f>
        <v>90</v>
      </c>
      <c r="F582" s="270" t="n">
        <f aca="false">DEGREES( ACOS( COS(F$563)  * ( 1 /  _xlfn.SEC($A582))))</f>
        <v>90</v>
      </c>
      <c r="G582" s="270" t="n">
        <f aca="false">DEGREES( ACOS( COS(G$563)  * ( 1 /  _xlfn.SEC($A582))))</f>
        <v>90</v>
      </c>
      <c r="H582" s="270" t="n">
        <f aca="false">DEGREES( ACOS( COS(H$563)  * ( 1 /  _xlfn.SEC($A582))))</f>
        <v>90</v>
      </c>
      <c r="I582" s="270" t="n">
        <f aca="false">DEGREES( ACOS( COS(I$563)  * ( 1 /  _xlfn.SEC($A582))))</f>
        <v>90</v>
      </c>
      <c r="J582" s="270" t="n">
        <f aca="false">DEGREES( ACOS( COS(J$563)  * ( 1 /  _xlfn.SEC($A582))))</f>
        <v>90</v>
      </c>
      <c r="K582" s="270" t="n">
        <f aca="false">DEGREES( ACOS( COS(K$563)  * ( 1 /  _xlfn.SEC($A582))))</f>
        <v>90</v>
      </c>
      <c r="L582" s="270" t="n">
        <f aca="false">DEGREES( ACOS( COS(L$563)  * ( 1 /  _xlfn.SEC($A582))))</f>
        <v>90</v>
      </c>
      <c r="M582" s="270" t="n">
        <f aca="false">DEGREES( ACOS( COS(M$563)  * ( 1 /  _xlfn.SEC($A582))))</f>
        <v>90</v>
      </c>
      <c r="N582" s="270" t="n">
        <f aca="false">DEGREES( ACOS( COS(N$563)  * ( 1 /  _xlfn.SEC($A582))))</f>
        <v>90</v>
      </c>
      <c r="O582" s="270" t="n">
        <f aca="false">DEGREES( ACOS( COS(O$563)  * ( 1 /  _xlfn.SEC($A582))))</f>
        <v>90</v>
      </c>
      <c r="P582" s="270" t="n">
        <f aca="false">DEGREES( ACOS( COS(P$563)  * ( 1 /  _xlfn.SEC($A582))))</f>
        <v>90</v>
      </c>
      <c r="Q582" s="270" t="n">
        <f aca="false">DEGREES( ACOS( COS(Q$563)  * ( 1 /  _xlfn.SEC($A582))))</f>
        <v>90</v>
      </c>
      <c r="R582" s="270" t="n">
        <f aca="false">DEGREES( ACOS( COS(R$563)  * ( 1 /  _xlfn.SEC($A582))))</f>
        <v>90</v>
      </c>
      <c r="S582" s="270" t="n">
        <f aca="false">DEGREES( ACOS( COS(S$563)  * ( 1 /  _xlfn.SEC($A582))))</f>
        <v>90</v>
      </c>
      <c r="T582" s="270" t="n">
        <f aca="false">DEGREES( ACOS( COS(T$563)  * ( 1 /  _xlfn.SEC($A582))))</f>
        <v>90</v>
      </c>
      <c r="U582" s="270" t="n">
        <f aca="false">DEGREES( ACOS( COS(U$563)  * ( 1 /  _xlfn.SEC($A582))))</f>
        <v>90</v>
      </c>
      <c r="V582" s="270" t="n">
        <f aca="false">DEGREES( ACOS( COS(V$563)  * ( 1 /  _xlfn.SEC($A582))))</f>
        <v>90</v>
      </c>
      <c r="W582" s="270" t="n">
        <f aca="false">DEGREES( ACOS( COS(W$563)  * ( 1 /  _xlfn.SEC($A582))))</f>
        <v>90</v>
      </c>
      <c r="X582" s="270" t="n">
        <f aca="false">DEGREES( ACOS( COS(X$563)  * ( 1 /  _xlfn.SEC($A582))))</f>
        <v>90</v>
      </c>
      <c r="Y582" s="270" t="n">
        <f aca="false">DEGREES( ACOS( COS(Y$563)  * ( 1 /  _xlfn.SEC($A582))))</f>
        <v>90</v>
      </c>
      <c r="Z582" s="270" t="n">
        <f aca="false">DEGREES( ACOS( COS(Z$563)  * ( 1 /  _xlfn.SEC($A582))))</f>
        <v>90</v>
      </c>
      <c r="AA582" s="270" t="n">
        <f aca="false">DEGREES( ACOS( COS(AA$563)  * ( 1 /  _xlfn.SEC($A582))))</f>
        <v>90</v>
      </c>
      <c r="AB582" s="270" t="n">
        <f aca="false">DEGREES( ACOS( COS(AB$563)  * ( 1 /  _xlfn.SEC($A582))))</f>
        <v>90</v>
      </c>
      <c r="AC582" s="195" t="n">
        <f aca="false">DEGREES( ACOS( COS(AC$563)  * ( 1 /  _xlfn.SEC($A582))))</f>
        <v>90</v>
      </c>
      <c r="AD582" s="195" t="n">
        <f aca="false">DEGREES( ACOS( COS(AD$563)  * ( 1 /  _xlfn.SEC($A582))))</f>
        <v>90</v>
      </c>
      <c r="AE582" s="1"/>
      <c r="AF582" s="1"/>
      <c r="AG582" s="1"/>
      <c r="AH582" s="1"/>
      <c r="AI582" s="1"/>
      <c r="AJ582" s="1"/>
      <c r="AK582" s="1"/>
      <c r="AL582" s="1"/>
    </row>
    <row r="583" customFormat="false" ht="12.8" hidden="false" customHeight="false" outlineLevel="0" collapsed="false">
      <c r="A583" s="193" t="n">
        <f aca="false">RADIANS(MOD(B583-180,-360)+180)</f>
        <v>-1.30899693899575</v>
      </c>
      <c r="B583" s="182" t="n">
        <v>285</v>
      </c>
      <c r="C583" s="1"/>
      <c r="D583" s="270" t="n">
        <f aca="false">DEGREES( ACOS( COS(D$563)  * ( 1 /  _xlfn.SEC($A583))))</f>
        <v>75.0000000023383</v>
      </c>
      <c r="E583" s="210" t="n">
        <f aca="false">DEGREES( ACOS( COS(E$563)  * ( 1 /  _xlfn.SEC($A583))))</f>
        <v>75.5224878140701</v>
      </c>
      <c r="F583" s="210" t="n">
        <f aca="false">DEGREES( ACOS( COS(F$563)  * ( 1 /  _xlfn.SEC($A583))))</f>
        <v>77.0474603577776</v>
      </c>
      <c r="G583" s="210" t="n">
        <f aca="false">DEGREES( ACOS( COS(G$563)  * ( 1 /  _xlfn.SEC($A583))))</f>
        <v>79.4547094105004</v>
      </c>
      <c r="H583" s="210" t="n">
        <f aca="false">DEGREES( ACOS( COS(H$563)  * ( 1 /  _xlfn.SEC($A583))))</f>
        <v>82.5645277738682</v>
      </c>
      <c r="I583" s="210" t="n">
        <f aca="false">DEGREES( ACOS( COS(I$563)  * ( 1 /  _xlfn.SEC($A583))))</f>
        <v>86.1590342837419</v>
      </c>
      <c r="J583" s="270" t="n">
        <f aca="false">DEGREES( ACOS( COS(J$563)  * ( 1 /  _xlfn.SEC($A583))))</f>
        <v>90</v>
      </c>
      <c r="K583" s="210" t="n">
        <f aca="false">DEGREES( ACOS( COS(K$563)  * ( 1 /  _xlfn.SEC($A583))))</f>
        <v>93.8409657162582</v>
      </c>
      <c r="L583" s="210" t="n">
        <f aca="false">DEGREES( ACOS( COS(L$563)  * ( 1 /  _xlfn.SEC($A583))))</f>
        <v>97.4354722261319</v>
      </c>
      <c r="M583" s="210" t="n">
        <f aca="false">DEGREES( ACOS( COS(M$563)  * ( 1 /  _xlfn.SEC($A583))))</f>
        <v>100.5452905895</v>
      </c>
      <c r="N583" s="210" t="n">
        <f aca="false">DEGREES( ACOS( COS(N$563)  * ( 1 /  _xlfn.SEC($A583))))</f>
        <v>102.952539642222</v>
      </c>
      <c r="O583" s="210" t="n">
        <f aca="false">DEGREES( ACOS( COS(O$563)  * ( 1 /  _xlfn.SEC($A583))))</f>
        <v>104.47751218593</v>
      </c>
      <c r="P583" s="270" t="n">
        <f aca="false">DEGREES( ACOS( COS(P$563)  * ( 1 /  _xlfn.SEC($A583))))</f>
        <v>105</v>
      </c>
      <c r="Q583" s="210" t="n">
        <f aca="false">DEGREES( ACOS( COS(Q$563)  * ( 1 /  _xlfn.SEC($A583))))</f>
        <v>104.47751218593</v>
      </c>
      <c r="R583" s="210" t="n">
        <f aca="false">DEGREES( ACOS( COS(R$563)  * ( 1 /  _xlfn.SEC($A583))))</f>
        <v>102.952539642222</v>
      </c>
      <c r="S583" s="210" t="n">
        <f aca="false">DEGREES( ACOS( COS(S$563)  * ( 1 /  _xlfn.SEC($A583))))</f>
        <v>100.5452905895</v>
      </c>
      <c r="T583" s="210" t="n">
        <f aca="false">DEGREES( ACOS( COS(T$563)  * ( 1 /  _xlfn.SEC($A583))))</f>
        <v>97.4354722261319</v>
      </c>
      <c r="U583" s="210" t="n">
        <f aca="false">DEGREES( ACOS( COS(U$563)  * ( 1 /  _xlfn.SEC($A583))))</f>
        <v>93.8409657162582</v>
      </c>
      <c r="V583" s="270" t="n">
        <f aca="false">DEGREES( ACOS( COS(V$563)  * ( 1 /  _xlfn.SEC($A583))))</f>
        <v>90</v>
      </c>
      <c r="W583" s="210" t="n">
        <f aca="false">DEGREES( ACOS( COS(W$563)  * ( 1 /  _xlfn.SEC($A583))))</f>
        <v>86.1590342837419</v>
      </c>
      <c r="X583" s="210" t="n">
        <f aca="false">DEGREES( ACOS( COS(X$563)  * ( 1 /  _xlfn.SEC($A583))))</f>
        <v>82.5645277738682</v>
      </c>
      <c r="Y583" s="210" t="n">
        <f aca="false">DEGREES( ACOS( COS(Y$563)  * ( 1 /  _xlfn.SEC($A583))))</f>
        <v>79.4547094105004</v>
      </c>
      <c r="Z583" s="210" t="n">
        <f aca="false">DEGREES( ACOS( COS(Z$563)  * ( 1 /  _xlfn.SEC($A583))))</f>
        <v>77.0474603577776</v>
      </c>
      <c r="AA583" s="210" t="n">
        <f aca="false">DEGREES( ACOS( COS(AA$563)  * ( 1 /  _xlfn.SEC($A583))))</f>
        <v>75.5224878140701</v>
      </c>
      <c r="AB583" s="270" t="n">
        <f aca="false">DEGREES( ACOS( COS(AB$563)  * ( 1 /  _xlfn.SEC($A583))))</f>
        <v>75.0000002338298</v>
      </c>
      <c r="AC583" s="195" t="n">
        <f aca="false">DEGREES( ACOS( COS(AC$563)  * ( 1 /  _xlfn.SEC($A583))))</f>
        <v>75</v>
      </c>
      <c r="AD583" s="195" t="n">
        <f aca="false">DEGREES( ACOS( COS(AD$563)  * ( 1 /  _xlfn.SEC($A583))))</f>
        <v>75</v>
      </c>
      <c r="AE583" s="1"/>
      <c r="AF583" s="1"/>
      <c r="AG583" s="1"/>
      <c r="AH583" s="1"/>
      <c r="AI583" s="1"/>
      <c r="AJ583" s="1"/>
      <c r="AK583" s="1"/>
      <c r="AL583" s="1"/>
    </row>
    <row r="584" customFormat="false" ht="12.8" hidden="false" customHeight="false" outlineLevel="0" collapsed="false">
      <c r="A584" s="193" t="n">
        <f aca="false">RADIANS(MOD(B584-180,-360)+180)</f>
        <v>-1.0471975511966</v>
      </c>
      <c r="B584" s="182" t="n">
        <v>300</v>
      </c>
      <c r="C584" s="1"/>
      <c r="D584" s="270" t="n">
        <f aca="false">DEGREES( ACOS( COS(D$563)  * ( 1 /  _xlfn.SEC($A584))))</f>
        <v>60.0000000050383</v>
      </c>
      <c r="E584" s="210" t="n">
        <f aca="false">DEGREES( ACOS( COS(E$563)  * ( 1 /  _xlfn.SEC($A584))))</f>
        <v>61.1209059825724</v>
      </c>
      <c r="F584" s="210" t="n">
        <f aca="false">DEGREES( ACOS( COS(F$563)  * ( 1 /  _xlfn.SEC($A584))))</f>
        <v>64.3410937267447</v>
      </c>
      <c r="G584" s="210" t="n">
        <f aca="false">DEGREES( ACOS( COS(G$563)  * ( 1 /  _xlfn.SEC($A584))))</f>
        <v>69.2951889453646</v>
      </c>
      <c r="H584" s="210" t="n">
        <f aca="false">DEGREES( ACOS( COS(H$563)  * ( 1 /  _xlfn.SEC($A584))))</f>
        <v>75.5224878140701</v>
      </c>
      <c r="I584" s="210" t="n">
        <f aca="false">DEGREES( ACOS( COS(I$563)  * ( 1 /  _xlfn.SEC($A584))))</f>
        <v>82.5645277738682</v>
      </c>
      <c r="J584" s="270" t="n">
        <f aca="false">DEGREES( ACOS( COS(J$563)  * ( 1 /  _xlfn.SEC($A584))))</f>
        <v>90</v>
      </c>
      <c r="K584" s="210" t="n">
        <f aca="false">DEGREES( ACOS( COS(K$563)  * ( 1 /  _xlfn.SEC($A584))))</f>
        <v>97.4354722261319</v>
      </c>
      <c r="L584" s="210" t="n">
        <f aca="false">DEGREES( ACOS( COS(L$563)  * ( 1 /  _xlfn.SEC($A584))))</f>
        <v>104.47751218593</v>
      </c>
      <c r="M584" s="210" t="n">
        <f aca="false">DEGREES( ACOS( COS(M$563)  * ( 1 /  _xlfn.SEC($A584))))</f>
        <v>110.704811054635</v>
      </c>
      <c r="N584" s="210" t="n">
        <f aca="false">DEGREES( ACOS( COS(N$563)  * ( 1 /  _xlfn.SEC($A584))))</f>
        <v>115.658906273255</v>
      </c>
      <c r="O584" s="210" t="n">
        <f aca="false">DEGREES( ACOS( COS(O$563)  * ( 1 /  _xlfn.SEC($A584))))</f>
        <v>118.879094017428</v>
      </c>
      <c r="P584" s="270" t="n">
        <f aca="false">DEGREES( ACOS( COS(P$563)  * ( 1 /  _xlfn.SEC($A584))))</f>
        <v>120</v>
      </c>
      <c r="Q584" s="210" t="n">
        <f aca="false">DEGREES( ACOS( COS(Q$563)  * ( 1 /  _xlfn.SEC($A584))))</f>
        <v>118.879094017428</v>
      </c>
      <c r="R584" s="210" t="n">
        <f aca="false">DEGREES( ACOS( COS(R$563)  * ( 1 /  _xlfn.SEC($A584))))</f>
        <v>115.658906273255</v>
      </c>
      <c r="S584" s="210" t="n">
        <f aca="false">DEGREES( ACOS( COS(S$563)  * ( 1 /  _xlfn.SEC($A584))))</f>
        <v>110.704811054635</v>
      </c>
      <c r="T584" s="210" t="n">
        <f aca="false">DEGREES( ACOS( COS(T$563)  * ( 1 /  _xlfn.SEC($A584))))</f>
        <v>104.47751218593</v>
      </c>
      <c r="U584" s="210" t="n">
        <f aca="false">DEGREES( ACOS( COS(U$563)  * ( 1 /  _xlfn.SEC($A584))))</f>
        <v>97.4354722261319</v>
      </c>
      <c r="V584" s="270" t="n">
        <f aca="false">DEGREES( ACOS( COS(V$563)  * ( 1 /  _xlfn.SEC($A584))))</f>
        <v>90</v>
      </c>
      <c r="W584" s="210" t="n">
        <f aca="false">DEGREES( ACOS( COS(W$563)  * ( 1 /  _xlfn.SEC($A584))))</f>
        <v>82.5645277738682</v>
      </c>
      <c r="X584" s="210" t="n">
        <f aca="false">DEGREES( ACOS( COS(X$563)  * ( 1 /  _xlfn.SEC($A584))))</f>
        <v>75.5224878140701</v>
      </c>
      <c r="Y584" s="210" t="n">
        <f aca="false">DEGREES( ACOS( COS(Y$563)  * ( 1 /  _xlfn.SEC($A584))))</f>
        <v>69.2951889453646</v>
      </c>
      <c r="Z584" s="210" t="n">
        <f aca="false">DEGREES( ACOS( COS(Z$563)  * ( 1 /  _xlfn.SEC($A584))))</f>
        <v>64.3410937267447</v>
      </c>
      <c r="AA584" s="210" t="n">
        <f aca="false">DEGREES( ACOS( COS(AA$563)  * ( 1 /  _xlfn.SEC($A584))))</f>
        <v>61.1209059825724</v>
      </c>
      <c r="AB584" s="270" t="n">
        <f aca="false">DEGREES( ACOS( COS(AB$563)  * ( 1 /  _xlfn.SEC($A584))))</f>
        <v>60.0000005038332</v>
      </c>
      <c r="AC584" s="195" t="n">
        <f aca="false">DEGREES( ACOS( COS(AC$563)  * ( 1 /  _xlfn.SEC($A584))))</f>
        <v>60</v>
      </c>
      <c r="AD584" s="195" t="n">
        <f aca="false">DEGREES( ACOS( COS(AD$563)  * ( 1 /  _xlfn.SEC($A584))))</f>
        <v>60</v>
      </c>
      <c r="AE584" s="1"/>
      <c r="AF584" s="1"/>
      <c r="AG584" s="1"/>
      <c r="AH584" s="1"/>
      <c r="AI584" s="1"/>
      <c r="AJ584" s="1"/>
      <c r="AK584" s="1"/>
      <c r="AL584" s="1"/>
    </row>
    <row r="585" customFormat="false" ht="12.8" hidden="false" customHeight="false" outlineLevel="0" collapsed="false">
      <c r="A585" s="193" t="n">
        <f aca="false">RADIANS(MOD(B585-180,-360)+180)</f>
        <v>-0.785398163397448</v>
      </c>
      <c r="B585" s="182" t="n">
        <v>315</v>
      </c>
      <c r="C585" s="1"/>
      <c r="D585" s="270" t="n">
        <f aca="false">DEGREES( ACOS( COS(D$563)  * ( 1 /  _xlfn.SEC($A585))))</f>
        <v>45.0000000087267</v>
      </c>
      <c r="E585" s="210" t="n">
        <f aca="false">DEGREES( ACOS( COS(E$563)  * ( 1 /  _xlfn.SEC($A585))))</f>
        <v>46.9204828581291</v>
      </c>
      <c r="F585" s="210" t="n">
        <f aca="false">DEGREES( ACOS( COS(F$563)  * ( 1 /  _xlfn.SEC($A585))))</f>
        <v>52.238756092965</v>
      </c>
      <c r="G585" s="210" t="n">
        <f aca="false">DEGREES( ACOS( COS(G$563)  * ( 1 /  _xlfn.SEC($A585))))</f>
        <v>60</v>
      </c>
      <c r="H585" s="210" t="n">
        <f aca="false">DEGREES( ACOS( COS(H$563)  * ( 1 /  _xlfn.SEC($A585))))</f>
        <v>69.2951889453646</v>
      </c>
      <c r="I585" s="210" t="n">
        <f aca="false">DEGREES( ACOS( COS(I$563)  * ( 1 /  _xlfn.SEC($A585))))</f>
        <v>79.4547094105004</v>
      </c>
      <c r="J585" s="270" t="n">
        <f aca="false">DEGREES( ACOS( COS(J$563)  * ( 1 /  _xlfn.SEC($A585))))</f>
        <v>90</v>
      </c>
      <c r="K585" s="210" t="n">
        <f aca="false">DEGREES( ACOS( COS(K$563)  * ( 1 /  _xlfn.SEC($A585))))</f>
        <v>100.5452905895</v>
      </c>
      <c r="L585" s="210" t="n">
        <f aca="false">DEGREES( ACOS( COS(L$563)  * ( 1 /  _xlfn.SEC($A585))))</f>
        <v>110.704811054635</v>
      </c>
      <c r="M585" s="210" t="n">
        <f aca="false">DEGREES( ACOS( COS(M$563)  * ( 1 /  _xlfn.SEC($A585))))</f>
        <v>120</v>
      </c>
      <c r="N585" s="210" t="n">
        <f aca="false">DEGREES( ACOS( COS(N$563)  * ( 1 /  _xlfn.SEC($A585))))</f>
        <v>127.761243907035</v>
      </c>
      <c r="O585" s="210" t="n">
        <f aca="false">DEGREES( ACOS( COS(O$563)  * ( 1 /  _xlfn.SEC($A585))))</f>
        <v>133.079517141871</v>
      </c>
      <c r="P585" s="270" t="n">
        <f aca="false">DEGREES( ACOS( COS(P$563)  * ( 1 /  _xlfn.SEC($A585))))</f>
        <v>135</v>
      </c>
      <c r="Q585" s="210" t="n">
        <f aca="false">DEGREES( ACOS( COS(Q$563)  * ( 1 /  _xlfn.SEC($A585))))</f>
        <v>133.079517141871</v>
      </c>
      <c r="R585" s="210" t="n">
        <f aca="false">DEGREES( ACOS( COS(R$563)  * ( 1 /  _xlfn.SEC($A585))))</f>
        <v>127.761243907035</v>
      </c>
      <c r="S585" s="210" t="n">
        <f aca="false">DEGREES( ACOS( COS(S$563)  * ( 1 /  _xlfn.SEC($A585))))</f>
        <v>120</v>
      </c>
      <c r="T585" s="210" t="n">
        <f aca="false">DEGREES( ACOS( COS(T$563)  * ( 1 /  _xlfn.SEC($A585))))</f>
        <v>110.704811054635</v>
      </c>
      <c r="U585" s="210" t="n">
        <f aca="false">DEGREES( ACOS( COS(U$563)  * ( 1 /  _xlfn.SEC($A585))))</f>
        <v>100.5452905895</v>
      </c>
      <c r="V585" s="270" t="n">
        <f aca="false">DEGREES( ACOS( COS(V$563)  * ( 1 /  _xlfn.SEC($A585))))</f>
        <v>90</v>
      </c>
      <c r="W585" s="210" t="n">
        <f aca="false">DEGREES( ACOS( COS(W$563)  * ( 1 /  _xlfn.SEC($A585))))</f>
        <v>79.4547094105004</v>
      </c>
      <c r="X585" s="210" t="n">
        <f aca="false">DEGREES( ACOS( COS(X$563)  * ( 1 /  _xlfn.SEC($A585))))</f>
        <v>69.2951889453646</v>
      </c>
      <c r="Y585" s="210" t="n">
        <f aca="false">DEGREES( ACOS( COS(Y$563)  * ( 1 /  _xlfn.SEC($A585))))</f>
        <v>60</v>
      </c>
      <c r="Z585" s="210" t="n">
        <f aca="false">DEGREES( ACOS( COS(Z$563)  * ( 1 /  _xlfn.SEC($A585))))</f>
        <v>52.238756092965</v>
      </c>
      <c r="AA585" s="210" t="n">
        <f aca="false">DEGREES( ACOS( COS(AA$563)  * ( 1 /  _xlfn.SEC($A585))))</f>
        <v>46.9204828581291</v>
      </c>
      <c r="AB585" s="270" t="n">
        <f aca="false">DEGREES( ACOS( COS(AB$563)  * ( 1 /  _xlfn.SEC($A585))))</f>
        <v>45.0000008726646</v>
      </c>
      <c r="AC585" s="195" t="n">
        <f aca="false">DEGREES( ACOS( COS(AC$563)  * ( 1 /  _xlfn.SEC($A585))))</f>
        <v>45</v>
      </c>
      <c r="AD585" s="195" t="n">
        <f aca="false">DEGREES( ACOS( COS(AD$563)  * ( 1 /  _xlfn.SEC($A585))))</f>
        <v>45</v>
      </c>
      <c r="AE585" s="1"/>
      <c r="AF585" s="1"/>
      <c r="AG585" s="1"/>
      <c r="AH585" s="1"/>
      <c r="AI585" s="1"/>
      <c r="AJ585" s="1"/>
      <c r="AK585" s="1"/>
      <c r="AL585" s="1"/>
    </row>
    <row r="586" customFormat="false" ht="12.8" hidden="false" customHeight="false" outlineLevel="0" collapsed="false">
      <c r="A586" s="193" t="n">
        <f aca="false">RADIANS(MOD(B586-180,-360)+180)</f>
        <v>-0.523598775598299</v>
      </c>
      <c r="B586" s="182" t="n">
        <v>330</v>
      </c>
      <c r="C586" s="1"/>
      <c r="D586" s="270" t="n">
        <f aca="false">DEGREES( ACOS( COS(D$563)  * ( 1 /  _xlfn.SEC($A586))))</f>
        <v>30.000000015115</v>
      </c>
      <c r="E586" s="210" t="n">
        <f aca="false">DEGREES( ACOS( COS(E$563)  * ( 1 /  _xlfn.SEC($A586))))</f>
        <v>33.2259422032876</v>
      </c>
      <c r="F586" s="210" t="n">
        <f aca="false">DEGREES( ACOS( COS(F$563)  * ( 1 /  _xlfn.SEC($A586))))</f>
        <v>41.4096221092709</v>
      </c>
      <c r="G586" s="210" t="n">
        <f aca="false">DEGREES( ACOS( COS(G$563)  * ( 1 /  _xlfn.SEC($A586))))</f>
        <v>52.238756092965</v>
      </c>
      <c r="H586" s="210" t="n">
        <f aca="false">DEGREES( ACOS( COS(H$563)  * ( 1 /  _xlfn.SEC($A586))))</f>
        <v>64.3410937267447</v>
      </c>
      <c r="I586" s="210" t="n">
        <f aca="false">DEGREES( ACOS( COS(I$563)  * ( 1 /  _xlfn.SEC($A586))))</f>
        <v>77.0474603577776</v>
      </c>
      <c r="J586" s="270" t="n">
        <f aca="false">DEGREES( ACOS( COS(J$563)  * ( 1 /  _xlfn.SEC($A586))))</f>
        <v>90</v>
      </c>
      <c r="K586" s="210" t="n">
        <f aca="false">DEGREES( ACOS( COS(K$563)  * ( 1 /  _xlfn.SEC($A586))))</f>
        <v>102.952539642222</v>
      </c>
      <c r="L586" s="210" t="n">
        <f aca="false">DEGREES( ACOS( COS(L$563)  * ( 1 /  _xlfn.SEC($A586))))</f>
        <v>115.658906273255</v>
      </c>
      <c r="M586" s="210" t="n">
        <f aca="false">DEGREES( ACOS( COS(M$563)  * ( 1 /  _xlfn.SEC($A586))))</f>
        <v>127.761243907035</v>
      </c>
      <c r="N586" s="210" t="n">
        <f aca="false">DEGREES( ACOS( COS(N$563)  * ( 1 /  _xlfn.SEC($A586))))</f>
        <v>138.590377890729</v>
      </c>
      <c r="O586" s="210" t="n">
        <f aca="false">DEGREES( ACOS( COS(O$563)  * ( 1 /  _xlfn.SEC($A586))))</f>
        <v>146.774057796712</v>
      </c>
      <c r="P586" s="270" t="n">
        <f aca="false">DEGREES( ACOS( COS(P$563)  * ( 1 /  _xlfn.SEC($A586))))</f>
        <v>150</v>
      </c>
      <c r="Q586" s="210" t="n">
        <f aca="false">DEGREES( ACOS( COS(Q$563)  * ( 1 /  _xlfn.SEC($A586))))</f>
        <v>146.774057796712</v>
      </c>
      <c r="R586" s="210" t="n">
        <f aca="false">DEGREES( ACOS( COS(R$563)  * ( 1 /  _xlfn.SEC($A586))))</f>
        <v>138.590377890729</v>
      </c>
      <c r="S586" s="210" t="n">
        <f aca="false">DEGREES( ACOS( COS(S$563)  * ( 1 /  _xlfn.SEC($A586))))</f>
        <v>127.761243907035</v>
      </c>
      <c r="T586" s="210" t="n">
        <f aca="false">DEGREES( ACOS( COS(T$563)  * ( 1 /  _xlfn.SEC($A586))))</f>
        <v>115.658906273255</v>
      </c>
      <c r="U586" s="210" t="n">
        <f aca="false">DEGREES( ACOS( COS(U$563)  * ( 1 /  _xlfn.SEC($A586))))</f>
        <v>102.952539642222</v>
      </c>
      <c r="V586" s="270" t="n">
        <f aca="false">DEGREES( ACOS( COS(V$563)  * ( 1 /  _xlfn.SEC($A586))))</f>
        <v>90</v>
      </c>
      <c r="W586" s="210" t="n">
        <f aca="false">DEGREES( ACOS( COS(W$563)  * ( 1 /  _xlfn.SEC($A586))))</f>
        <v>77.0474603577776</v>
      </c>
      <c r="X586" s="210" t="n">
        <f aca="false">DEGREES( ACOS( COS(X$563)  * ( 1 /  _xlfn.SEC($A586))))</f>
        <v>64.3410937267447</v>
      </c>
      <c r="Y586" s="210" t="n">
        <f aca="false">DEGREES( ACOS( COS(Y$563)  * ( 1 /  _xlfn.SEC($A586))))</f>
        <v>52.238756092965</v>
      </c>
      <c r="Z586" s="210" t="n">
        <f aca="false">DEGREES( ACOS( COS(Z$563)  * ( 1 /  _xlfn.SEC($A586))))</f>
        <v>41.4096221092709</v>
      </c>
      <c r="AA586" s="210" t="n">
        <f aca="false">DEGREES( ACOS( COS(AA$563)  * ( 1 /  _xlfn.SEC($A586))))</f>
        <v>33.2259422032876</v>
      </c>
      <c r="AB586" s="270" t="n">
        <f aca="false">DEGREES( ACOS( COS(AB$563)  * ( 1 /  _xlfn.SEC($A586))))</f>
        <v>30.0000015114994</v>
      </c>
      <c r="AC586" s="195" t="n">
        <f aca="false">DEGREES( ACOS( COS(AC$563)  * ( 1 /  _xlfn.SEC($A586))))</f>
        <v>30</v>
      </c>
      <c r="AD586" s="195" t="n">
        <f aca="false">DEGREES( ACOS( COS(AD$563)  * ( 1 /  _xlfn.SEC($A586))))</f>
        <v>30</v>
      </c>
      <c r="AE586" s="1"/>
      <c r="AF586" s="1"/>
      <c r="AG586" s="1"/>
      <c r="AH586" s="1"/>
      <c r="AI586" s="1"/>
      <c r="AJ586" s="1"/>
      <c r="AK586" s="1"/>
      <c r="AL586" s="1"/>
    </row>
    <row r="587" customFormat="false" ht="12.8" hidden="false" customHeight="false" outlineLevel="0" collapsed="false">
      <c r="A587" s="193" t="n">
        <f aca="false">RADIANS(MOD(B587-180,-360)+180)</f>
        <v>-0.261799387799149</v>
      </c>
      <c r="B587" s="182" t="n">
        <v>345</v>
      </c>
      <c r="C587" s="1"/>
      <c r="D587" s="270" t="n">
        <f aca="false">DEGREES( ACOS( COS(D$563)  * ( 1 /  _xlfn.SEC($A587))))</f>
        <v>15.0000000325683</v>
      </c>
      <c r="E587" s="210" t="n">
        <f aca="false">DEGREES( ACOS( COS(E$563)  * ( 1 /  _xlfn.SEC($A587))))</f>
        <v>21.0905811789991</v>
      </c>
      <c r="F587" s="210" t="n">
        <f aca="false">DEGREES( ACOS( COS(F$563)  * ( 1 /  _xlfn.SEC($A587))))</f>
        <v>33.2259422032876</v>
      </c>
      <c r="G587" s="210" t="n">
        <f aca="false">DEGREES( ACOS( COS(G$563)  * ( 1 /  _xlfn.SEC($A587))))</f>
        <v>46.9204828581291</v>
      </c>
      <c r="H587" s="210" t="n">
        <f aca="false">DEGREES( ACOS( COS(H$563)  * ( 1 /  _xlfn.SEC($A587))))</f>
        <v>61.1209059825724</v>
      </c>
      <c r="I587" s="210" t="n">
        <f aca="false">DEGREES( ACOS( COS(I$563)  * ( 1 /  _xlfn.SEC($A587))))</f>
        <v>75.5224878140701</v>
      </c>
      <c r="J587" s="270" t="n">
        <f aca="false">DEGREES( ACOS( COS(J$563)  * ( 1 /  _xlfn.SEC($A587))))</f>
        <v>90</v>
      </c>
      <c r="K587" s="210" t="n">
        <f aca="false">DEGREES( ACOS( COS(K$563)  * ( 1 /  _xlfn.SEC($A587))))</f>
        <v>104.47751218593</v>
      </c>
      <c r="L587" s="210" t="n">
        <f aca="false">DEGREES( ACOS( COS(L$563)  * ( 1 /  _xlfn.SEC($A587))))</f>
        <v>118.879094017428</v>
      </c>
      <c r="M587" s="210" t="n">
        <f aca="false">DEGREES( ACOS( COS(M$563)  * ( 1 /  _xlfn.SEC($A587))))</f>
        <v>133.079517141871</v>
      </c>
      <c r="N587" s="210" t="n">
        <f aca="false">DEGREES( ACOS( COS(N$563)  * ( 1 /  _xlfn.SEC($A587))))</f>
        <v>146.774057796712</v>
      </c>
      <c r="O587" s="210" t="n">
        <f aca="false">DEGREES( ACOS( COS(O$563)  * ( 1 /  _xlfn.SEC($A587))))</f>
        <v>158.909418821001</v>
      </c>
      <c r="P587" s="270" t="n">
        <f aca="false">DEGREES( ACOS( COS(P$563)  * ( 1 /  _xlfn.SEC($A587))))</f>
        <v>165</v>
      </c>
      <c r="Q587" s="210" t="n">
        <f aca="false">DEGREES( ACOS( COS(Q$563)  * ( 1 /  _xlfn.SEC($A587))))</f>
        <v>158.909418821001</v>
      </c>
      <c r="R587" s="210" t="n">
        <f aca="false">DEGREES( ACOS( COS(R$563)  * ( 1 /  _xlfn.SEC($A587))))</f>
        <v>146.774057796712</v>
      </c>
      <c r="S587" s="210" t="n">
        <f aca="false">DEGREES( ACOS( COS(S$563)  * ( 1 /  _xlfn.SEC($A587))))</f>
        <v>133.079517141871</v>
      </c>
      <c r="T587" s="210" t="n">
        <f aca="false">DEGREES( ACOS( COS(T$563)  * ( 1 /  _xlfn.SEC($A587))))</f>
        <v>118.879094017428</v>
      </c>
      <c r="U587" s="210" t="n">
        <f aca="false">DEGREES( ACOS( COS(U$563)  * ( 1 /  _xlfn.SEC($A587))))</f>
        <v>104.47751218593</v>
      </c>
      <c r="V587" s="270" t="n">
        <f aca="false">DEGREES( ACOS( COS(V$563)  * ( 1 /  _xlfn.SEC($A587))))</f>
        <v>90</v>
      </c>
      <c r="W587" s="210" t="n">
        <f aca="false">DEGREES( ACOS( COS(W$563)  * ( 1 /  _xlfn.SEC($A587))))</f>
        <v>75.5224878140701</v>
      </c>
      <c r="X587" s="210" t="n">
        <f aca="false">DEGREES( ACOS( COS(X$563)  * ( 1 /  _xlfn.SEC($A587))))</f>
        <v>61.1209059825724</v>
      </c>
      <c r="Y587" s="210" t="n">
        <f aca="false">DEGREES( ACOS( COS(Y$563)  * ( 1 /  _xlfn.SEC($A587))))</f>
        <v>46.9204828581291</v>
      </c>
      <c r="Z587" s="210" t="n">
        <f aca="false">DEGREES( ACOS( COS(Z$563)  * ( 1 /  _xlfn.SEC($A587))))</f>
        <v>33.2259422032876</v>
      </c>
      <c r="AA587" s="210" t="n">
        <f aca="false">DEGREES( ACOS( COS(AA$563)  * ( 1 /  _xlfn.SEC($A587))))</f>
        <v>21.0905811789991</v>
      </c>
      <c r="AB587" s="270" t="n">
        <f aca="false">DEGREES( ACOS( COS(AB$563)  * ( 1 /  _xlfn.SEC($A587))))</f>
        <v>15.0000032568283</v>
      </c>
      <c r="AC587" s="195" t="n">
        <f aca="false">DEGREES( ACOS( COS(AC$563)  * ( 1 /  _xlfn.SEC($A587))))</f>
        <v>15</v>
      </c>
      <c r="AD587" s="195" t="n">
        <f aca="false">DEGREES( ACOS( COS(AD$563)  * ( 1 /  _xlfn.SEC($A587))))</f>
        <v>15</v>
      </c>
      <c r="AE587" s="1"/>
      <c r="AF587" s="1"/>
      <c r="AG587" s="1"/>
      <c r="AH587" s="1"/>
      <c r="AI587" s="1"/>
      <c r="AJ587" s="1"/>
      <c r="AK587" s="1"/>
      <c r="AL587" s="1"/>
    </row>
    <row r="588" customFormat="false" ht="12.8" hidden="false" customHeight="false" outlineLevel="0" collapsed="false">
      <c r="A588" s="193" t="n">
        <f aca="false">RADIANS(MOD(B588-180,-360)+180)</f>
        <v>-0.000174532925199274</v>
      </c>
      <c r="B588" s="198" t="n">
        <v>359.99</v>
      </c>
      <c r="C588" s="1"/>
      <c r="D588" s="270" t="n">
        <f aca="false">DEGREES( ACOS( COS(D$563)  * ( 1 /  _xlfn.SEC($A588))))</f>
        <v>0.01004987564407</v>
      </c>
      <c r="E588" s="270" t="n">
        <f aca="false">DEGREES( ACOS( COS(E$563)  * ( 1 /  _xlfn.SEC($A588))))</f>
        <v>15.0000032568284</v>
      </c>
      <c r="F588" s="270" t="n">
        <f aca="false">DEGREES( ACOS( COS(F$563)  * ( 1 /  _xlfn.SEC($A588))))</f>
        <v>30.0000015114994</v>
      </c>
      <c r="G588" s="270" t="n">
        <f aca="false">DEGREES( ACOS( COS(G$563)  * ( 1 /  _xlfn.SEC($A588))))</f>
        <v>45.0000008726646</v>
      </c>
      <c r="H588" s="270" t="n">
        <f aca="false">DEGREES( ACOS( COS(H$563)  * ( 1 /  _xlfn.SEC($A588))))</f>
        <v>60.0000005038332</v>
      </c>
      <c r="I588" s="270" t="n">
        <f aca="false">DEGREES( ACOS( COS(I$563)  * ( 1 /  _xlfn.SEC($A588))))</f>
        <v>75.0000002338298</v>
      </c>
      <c r="J588" s="270" t="n">
        <f aca="false">DEGREES( ACOS( COS(J$563)  * ( 1 /  _xlfn.SEC($A588))))</f>
        <v>90</v>
      </c>
      <c r="K588" s="270" t="n">
        <f aca="false">DEGREES( ACOS( COS(K$563)  * ( 1 /  _xlfn.SEC($A588))))</f>
        <v>104.99999976617</v>
      </c>
      <c r="L588" s="270" t="n">
        <f aca="false">DEGREES( ACOS( COS(L$563)  * ( 1 /  _xlfn.SEC($A588))))</f>
        <v>119.999999496167</v>
      </c>
      <c r="M588" s="270" t="n">
        <f aca="false">DEGREES( ACOS( COS(M$563)  * ( 1 /  _xlfn.SEC($A588))))</f>
        <v>134.999999127335</v>
      </c>
      <c r="N588" s="270" t="n">
        <f aca="false">DEGREES( ACOS( COS(N$563)  * ( 1 /  _xlfn.SEC($A588))))</f>
        <v>149.999998488501</v>
      </c>
      <c r="O588" s="270" t="n">
        <f aca="false">DEGREES( ACOS( COS(O$563)  * ( 1 /  _xlfn.SEC($A588))))</f>
        <v>164.999996743172</v>
      </c>
      <c r="P588" s="270" t="n">
        <f aca="false">DEGREES( ACOS( COS(P$563)  * ( 1 /  _xlfn.SEC($A588))))</f>
        <v>179.989999999981</v>
      </c>
      <c r="Q588" s="270" t="n">
        <f aca="false">DEGREES( ACOS( COS(Q$563)  * ( 1 /  _xlfn.SEC($A588))))</f>
        <v>164.999996743172</v>
      </c>
      <c r="R588" s="270" t="n">
        <f aca="false">DEGREES( ACOS( COS(R$563)  * ( 1 /  _xlfn.SEC($A588))))</f>
        <v>149.999998488501</v>
      </c>
      <c r="S588" s="270" t="n">
        <f aca="false">DEGREES( ACOS( COS(S$563)  * ( 1 /  _xlfn.SEC($A588))))</f>
        <v>134.999999127335</v>
      </c>
      <c r="T588" s="270" t="n">
        <f aca="false">DEGREES( ACOS( COS(T$563)  * ( 1 /  _xlfn.SEC($A588))))</f>
        <v>119.999999496167</v>
      </c>
      <c r="U588" s="270" t="n">
        <f aca="false">DEGREES( ACOS( COS(U$563)  * ( 1 /  _xlfn.SEC($A588))))</f>
        <v>104.99999976617</v>
      </c>
      <c r="V588" s="270" t="n">
        <f aca="false">DEGREES( ACOS( COS(V$563)  * ( 1 /  _xlfn.SEC($A588))))</f>
        <v>90</v>
      </c>
      <c r="W588" s="270" t="n">
        <f aca="false">DEGREES( ACOS( COS(W$563)  * ( 1 /  _xlfn.SEC($A588))))</f>
        <v>75.0000002338298</v>
      </c>
      <c r="X588" s="270" t="n">
        <f aca="false">DEGREES( ACOS( COS(X$563)  * ( 1 /  _xlfn.SEC($A588))))</f>
        <v>60.0000005038332</v>
      </c>
      <c r="Y588" s="270" t="n">
        <f aca="false">DEGREES( ACOS( COS(Y$563)  * ( 1 /  _xlfn.SEC($A588))))</f>
        <v>45.0000008726646</v>
      </c>
      <c r="Z588" s="270" t="n">
        <f aca="false">DEGREES( ACOS( COS(Z$563)  * ( 1 /  _xlfn.SEC($A588))))</f>
        <v>30.0000015114994</v>
      </c>
      <c r="AA588" s="270" t="n">
        <f aca="false">DEGREES( ACOS( COS(AA$563)  * ( 1 /  _xlfn.SEC($A588))))</f>
        <v>15.0000032568284</v>
      </c>
      <c r="AB588" s="270" t="n">
        <f aca="false">DEGREES( ACOS( COS(AB$563)  * ( 1 /  _xlfn.SEC($A588))))</f>
        <v>0.0141421355913772</v>
      </c>
      <c r="AC588" s="195" t="n">
        <f aca="false">DEGREES( ACOS( COS(AC$563)  * ( 1 /  _xlfn.SEC($A588))))</f>
        <v>0.0100000000190997</v>
      </c>
      <c r="AD588" s="195" t="n">
        <f aca="false">DEGREES( ACOS( COS(AD$563)  * ( 1 /  _xlfn.SEC($A588))))</f>
        <v>0.0100000000190997</v>
      </c>
      <c r="AE588" s="1"/>
      <c r="AF588" s="1"/>
      <c r="AG588" s="1"/>
      <c r="AH588" s="1"/>
      <c r="AI588" s="1"/>
      <c r="AJ588" s="1"/>
      <c r="AK588" s="1"/>
      <c r="AL588" s="1"/>
    </row>
    <row r="589" customFormat="false" ht="12.8" hidden="false" customHeight="false" outlineLevel="0" collapsed="false">
      <c r="A589" s="192" t="n">
        <f aca="false">RADIANS(MOD(B589-180,-360)+180)</f>
        <v>0</v>
      </c>
      <c r="B589" s="184" t="n">
        <v>360</v>
      </c>
      <c r="C589" s="1"/>
      <c r="D589" s="195" t="n">
        <f aca="false">DEGREES( ACOS( COS(D$563)  * ( 1 /  _xlfn.SEC($A589))))</f>
        <v>0.0010000000370999</v>
      </c>
      <c r="E589" s="195" t="n">
        <f aca="false">DEGREES( ACOS( COS(E$563)  * ( 1 /  _xlfn.SEC($A589))))</f>
        <v>15</v>
      </c>
      <c r="F589" s="195" t="n">
        <f aca="false">DEGREES( ACOS( COS(F$563)  * ( 1 /  _xlfn.SEC($A589))))</f>
        <v>30</v>
      </c>
      <c r="G589" s="195" t="n">
        <f aca="false">DEGREES( ACOS( COS(G$563)  * ( 1 /  _xlfn.SEC($A589))))</f>
        <v>45</v>
      </c>
      <c r="H589" s="195" t="n">
        <f aca="false">DEGREES( ACOS( COS(H$563)  * ( 1 /  _xlfn.SEC($A589))))</f>
        <v>60</v>
      </c>
      <c r="I589" s="195" t="n">
        <f aca="false">DEGREES( ACOS( COS(I$563)  * ( 1 /  _xlfn.SEC($A589))))</f>
        <v>75</v>
      </c>
      <c r="J589" s="195" t="n">
        <f aca="false">DEGREES( ACOS( COS(J$563)  * ( 1 /  _xlfn.SEC($A589))))</f>
        <v>90</v>
      </c>
      <c r="K589" s="195" t="n">
        <f aca="false">DEGREES( ACOS( COS(K$563)  * ( 1 /  _xlfn.SEC($A589))))</f>
        <v>105</v>
      </c>
      <c r="L589" s="195" t="n">
        <f aca="false">DEGREES( ACOS( COS(L$563)  * ( 1 /  _xlfn.SEC($A589))))</f>
        <v>120</v>
      </c>
      <c r="M589" s="195" t="n">
        <f aca="false">DEGREES( ACOS( COS(M$563)  * ( 1 /  _xlfn.SEC($A589))))</f>
        <v>135</v>
      </c>
      <c r="N589" s="195" t="n">
        <f aca="false">DEGREES( ACOS( COS(N$563)  * ( 1 /  _xlfn.SEC($A589))))</f>
        <v>150</v>
      </c>
      <c r="O589" s="195" t="n">
        <f aca="false">DEGREES( ACOS( COS(O$563)  * ( 1 /  _xlfn.SEC($A589))))</f>
        <v>165</v>
      </c>
      <c r="P589" s="195" t="n">
        <f aca="false">DEGREES( ACOS( COS(P$563)  * ( 1 /  _xlfn.SEC($A589))))</f>
        <v>180</v>
      </c>
      <c r="Q589" s="195" t="n">
        <f aca="false">DEGREES( ACOS( COS(Q$563)  * ( 1 /  _xlfn.SEC($A589))))</f>
        <v>165</v>
      </c>
      <c r="R589" s="195" t="n">
        <f aca="false">DEGREES( ACOS( COS(R$563)  * ( 1 /  _xlfn.SEC($A589))))</f>
        <v>150</v>
      </c>
      <c r="S589" s="195" t="n">
        <f aca="false">DEGREES( ACOS( COS(S$563)  * ( 1 /  _xlfn.SEC($A589))))</f>
        <v>135</v>
      </c>
      <c r="T589" s="195" t="n">
        <f aca="false">DEGREES( ACOS( COS(T$563)  * ( 1 /  _xlfn.SEC($A589))))</f>
        <v>120</v>
      </c>
      <c r="U589" s="195" t="n">
        <f aca="false">DEGREES( ACOS( COS(U$563)  * ( 1 /  _xlfn.SEC($A589))))</f>
        <v>105</v>
      </c>
      <c r="V589" s="195" t="n">
        <f aca="false">DEGREES( ACOS( COS(V$563)  * ( 1 /  _xlfn.SEC($A589))))</f>
        <v>90</v>
      </c>
      <c r="W589" s="195" t="n">
        <f aca="false">DEGREES( ACOS( COS(W$563)  * ( 1 /  _xlfn.SEC($A589))))</f>
        <v>75</v>
      </c>
      <c r="X589" s="195" t="n">
        <f aca="false">DEGREES( ACOS( COS(X$563)  * ( 1 /  _xlfn.SEC($A589))))</f>
        <v>60</v>
      </c>
      <c r="Y589" s="195" t="n">
        <f aca="false">DEGREES( ACOS( COS(Y$563)  * ( 1 /  _xlfn.SEC($A589))))</f>
        <v>45</v>
      </c>
      <c r="Z589" s="195" t="n">
        <f aca="false">DEGREES( ACOS( COS(Z$563)  * ( 1 /  _xlfn.SEC($A589))))</f>
        <v>30</v>
      </c>
      <c r="AA589" s="195" t="n">
        <f aca="false">DEGREES( ACOS( COS(AA$563)  * ( 1 /  _xlfn.SEC($A589))))</f>
        <v>15</v>
      </c>
      <c r="AB589" s="195" t="n">
        <f aca="false">DEGREES( ACOS( COS(AB$563)  * ( 1 /  _xlfn.SEC($A589))))</f>
        <v>0.00999999998265327</v>
      </c>
      <c r="AC589" s="195" t="n">
        <f aca="false">DEGREES( ACOS( COS(AC$563)  * ( 1 /  _xlfn.SEC($A589))))</f>
        <v>0</v>
      </c>
      <c r="AD589" s="195" t="n">
        <f aca="false">DEGREES( ACOS( COS(AD$563)  * ( 1 /  _xlfn.SEC($A589))))</f>
        <v>0</v>
      </c>
      <c r="AE589" s="1"/>
      <c r="AF589" s="1"/>
      <c r="AG589" s="1"/>
      <c r="AH589" s="1"/>
      <c r="AI589" s="1"/>
      <c r="AJ589" s="1"/>
      <c r="AK589" s="1"/>
      <c r="AL589" s="1"/>
    </row>
    <row r="590" customFormat="false" ht="12.8" hidden="false" customHeight="false" outlineLevel="0" collapsed="false">
      <c r="A590" s="192" t="n">
        <f aca="false">RADIANS(MOD(B590-180,-360)+180)</f>
        <v>0</v>
      </c>
      <c r="B590" s="184" t="n">
        <v>0</v>
      </c>
      <c r="C590" s="1"/>
      <c r="D590" s="195" t="n">
        <f aca="false">DEGREES( ACOS( COS(D$563)  * ( 1 /  _xlfn.SEC($A590))))</f>
        <v>0.0010000000370999</v>
      </c>
      <c r="E590" s="195" t="n">
        <f aca="false">DEGREES( ACOS( COS(E$563)  * ( 1 /  _xlfn.SEC($A590))))</f>
        <v>15</v>
      </c>
      <c r="F590" s="195" t="n">
        <f aca="false">DEGREES( ACOS( COS(F$563)  * ( 1 /  _xlfn.SEC($A590))))</f>
        <v>30</v>
      </c>
      <c r="G590" s="195" t="n">
        <f aca="false">DEGREES( ACOS( COS(G$563)  * ( 1 /  _xlfn.SEC($A590))))</f>
        <v>45</v>
      </c>
      <c r="H590" s="195" t="n">
        <f aca="false">DEGREES( ACOS( COS(H$563)  * ( 1 /  _xlfn.SEC($A590))))</f>
        <v>60</v>
      </c>
      <c r="I590" s="195" t="n">
        <f aca="false">DEGREES( ACOS( COS(I$563)  * ( 1 /  _xlfn.SEC($A590))))</f>
        <v>75</v>
      </c>
      <c r="J590" s="195" t="n">
        <f aca="false">DEGREES( ACOS( COS(J$563)  * ( 1 /  _xlfn.SEC($A590))))</f>
        <v>90</v>
      </c>
      <c r="K590" s="195" t="n">
        <f aca="false">DEGREES( ACOS( COS(K$563)  * ( 1 /  _xlfn.SEC($A590))))</f>
        <v>105</v>
      </c>
      <c r="L590" s="195" t="n">
        <f aca="false">DEGREES( ACOS( COS(L$563)  * ( 1 /  _xlfn.SEC($A590))))</f>
        <v>120</v>
      </c>
      <c r="M590" s="195" t="n">
        <f aca="false">DEGREES( ACOS( COS(M$563)  * ( 1 /  _xlfn.SEC($A590))))</f>
        <v>135</v>
      </c>
      <c r="N590" s="195" t="n">
        <f aca="false">DEGREES( ACOS( COS(N$563)  * ( 1 /  _xlfn.SEC($A590))))</f>
        <v>150</v>
      </c>
      <c r="O590" s="195" t="n">
        <f aca="false">DEGREES( ACOS( COS(O$563)  * ( 1 /  _xlfn.SEC($A590))))</f>
        <v>165</v>
      </c>
      <c r="P590" s="195" t="n">
        <f aca="false">DEGREES( ACOS( COS(P$563)  * ( 1 /  _xlfn.SEC($A590))))</f>
        <v>180</v>
      </c>
      <c r="Q590" s="195" t="n">
        <f aca="false">DEGREES( ACOS( COS(Q$563)  * ( 1 /  _xlfn.SEC($A590))))</f>
        <v>165</v>
      </c>
      <c r="R590" s="195" t="n">
        <f aca="false">DEGREES( ACOS( COS(R$563)  * ( 1 /  _xlfn.SEC($A590))))</f>
        <v>150</v>
      </c>
      <c r="S590" s="195" t="n">
        <f aca="false">DEGREES( ACOS( COS(S$563)  * ( 1 /  _xlfn.SEC($A590))))</f>
        <v>135</v>
      </c>
      <c r="T590" s="195" t="n">
        <f aca="false">DEGREES( ACOS( COS(T$563)  * ( 1 /  _xlfn.SEC($A590))))</f>
        <v>120</v>
      </c>
      <c r="U590" s="195" t="n">
        <f aca="false">DEGREES( ACOS( COS(U$563)  * ( 1 /  _xlfn.SEC($A590))))</f>
        <v>105</v>
      </c>
      <c r="V590" s="195" t="n">
        <f aca="false">DEGREES( ACOS( COS(V$563)  * ( 1 /  _xlfn.SEC($A590))))</f>
        <v>90</v>
      </c>
      <c r="W590" s="195" t="n">
        <f aca="false">DEGREES( ACOS( COS(W$563)  * ( 1 /  _xlfn.SEC($A590))))</f>
        <v>75</v>
      </c>
      <c r="X590" s="195" t="n">
        <f aca="false">DEGREES( ACOS( COS(X$563)  * ( 1 /  _xlfn.SEC($A590))))</f>
        <v>60</v>
      </c>
      <c r="Y590" s="195" t="n">
        <f aca="false">DEGREES( ACOS( COS(Y$563)  * ( 1 /  _xlfn.SEC($A590))))</f>
        <v>45</v>
      </c>
      <c r="Z590" s="195" t="n">
        <f aca="false">DEGREES( ACOS( COS(Z$563)  * ( 1 /  _xlfn.SEC($A590))))</f>
        <v>30</v>
      </c>
      <c r="AA590" s="195" t="n">
        <f aca="false">DEGREES( ACOS( COS(AA$563)  * ( 1 /  _xlfn.SEC($A590))))</f>
        <v>15</v>
      </c>
      <c r="AB590" s="195" t="n">
        <f aca="false">DEGREES( ACOS( COS(AB$563)  * ( 1 /  _xlfn.SEC($A590))))</f>
        <v>0.00999999998265327</v>
      </c>
      <c r="AC590" s="195" t="n">
        <f aca="false">DEGREES( ACOS( COS(AC$563)  * ( 1 /  _xlfn.SEC($A590))))</f>
        <v>0</v>
      </c>
      <c r="AD590" s="195" t="n">
        <f aca="false">DEGREES( ACOS( COS(AD$563)  * ( 1 /  _xlfn.SEC($A590))))</f>
        <v>0</v>
      </c>
      <c r="AE590" s="1"/>
      <c r="AF590" s="1"/>
      <c r="AG590" s="1"/>
      <c r="AH590" s="1"/>
      <c r="AI590" s="1"/>
      <c r="AJ590" s="1"/>
      <c r="AK590" s="1"/>
      <c r="AL590" s="1"/>
    </row>
    <row r="591" customFormat="false" ht="12.8" hidden="false" customHeight="false" outlineLevel="0" collapsed="false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customFormat="false" ht="12.8" hidden="false" customHeight="false" outlineLevel="0" collapsed="false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customFormat="false" ht="12.8" hidden="false" customHeight="false" outlineLevel="0" collapsed="false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customFormat="false" ht="12.8" hidden="false" customHeight="false" outlineLevel="0" collapsed="false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customFormat="false" ht="12.8" hidden="false" customHeight="false" outlineLevel="0" collapsed="false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customFormat="false" ht="12.8" hidden="false" customHeight="false" outlineLevel="0" collapsed="false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customFormat="false" ht="12.8" hidden="false" customHeight="false" outlineLevel="0" collapsed="false">
      <c r="A597" s="1"/>
      <c r="B597" s="1"/>
      <c r="C597" s="1"/>
      <c r="D597" s="1"/>
      <c r="E597" s="1"/>
      <c r="F597" s="1"/>
      <c r="G597" s="1"/>
      <c r="H597" s="117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customFormat="false" ht="12.8" hidden="false" customHeight="false" outlineLevel="0" collapsed="false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customFormat="false" ht="12.8" hidden="false" customHeight="false" outlineLevel="0" collapsed="false">
      <c r="A599" s="1"/>
      <c r="B599" s="1"/>
      <c r="C599" s="1"/>
      <c r="D599" s="1"/>
      <c r="E599" s="1"/>
      <c r="F599" s="1"/>
      <c r="G599" s="224"/>
      <c r="H599" s="1"/>
      <c r="I599" s="11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customFormat="false" ht="12.8" hidden="false" customHeight="false" outlineLevel="0" collapsed="false">
      <c r="A600" s="1"/>
      <c r="B600" s="1"/>
      <c r="C600" s="1"/>
      <c r="D600" s="1"/>
      <c r="E600" s="1"/>
      <c r="F600" s="1"/>
      <c r="G600" s="224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customFormat="false" ht="12.8" hidden="false" customHeight="false" outlineLevel="0" collapsed="false">
      <c r="G601" s="271"/>
    </row>
    <row r="602" customFormat="false" ht="12.8" hidden="false" customHeight="false" outlineLevel="0" collapsed="false">
      <c r="G602" s="271"/>
    </row>
    <row r="603" customFormat="false" ht="12.8" hidden="false" customHeight="false" outlineLevel="0" collapsed="false">
      <c r="G603" s="271"/>
    </row>
    <row r="604" customFormat="false" ht="16.4" hidden="false" customHeight="false" outlineLevel="0" collapsed="false">
      <c r="E604" s="272" t="s">
        <v>273</v>
      </c>
      <c r="F604" s="273"/>
      <c r="G604" s="274"/>
      <c r="H604" s="273"/>
      <c r="I604" s="273"/>
      <c r="J604" s="273"/>
      <c r="K604" s="273"/>
      <c r="L604" s="275"/>
    </row>
    <row r="605" customFormat="false" ht="12.8" hidden="false" customHeight="false" outlineLevel="0" collapsed="false">
      <c r="E605" s="276"/>
      <c r="F605" s="1"/>
      <c r="G605" s="224"/>
      <c r="H605" s="1"/>
      <c r="I605" s="1"/>
      <c r="J605" s="1"/>
      <c r="K605" s="1"/>
      <c r="L605" s="277"/>
    </row>
    <row r="606" customFormat="false" ht="16.4" hidden="false" customHeight="false" outlineLevel="0" collapsed="false">
      <c r="E606" s="276" t="s">
        <v>274</v>
      </c>
      <c r="F606" s="1"/>
      <c r="G606" s="224"/>
      <c r="H606" s="1"/>
      <c r="I606" s="1"/>
      <c r="J606" s="1"/>
      <c r="K606" s="1"/>
      <c r="L606" s="277"/>
    </row>
    <row r="607" customFormat="false" ht="12.8" hidden="false" customHeight="false" outlineLevel="0" collapsed="false">
      <c r="E607" s="276"/>
      <c r="F607" s="1"/>
      <c r="G607" s="224"/>
      <c r="H607" s="1"/>
      <c r="I607" s="1"/>
      <c r="J607" s="1"/>
      <c r="K607" s="1"/>
      <c r="L607" s="277"/>
    </row>
    <row r="608" customFormat="false" ht="16.4" hidden="false" customHeight="false" outlineLevel="0" collapsed="false">
      <c r="E608" s="278" t="s">
        <v>275</v>
      </c>
      <c r="F608" s="279"/>
      <c r="G608" s="280"/>
      <c r="H608" s="279"/>
      <c r="I608" s="279"/>
      <c r="J608" s="279"/>
      <c r="K608" s="279"/>
      <c r="L608" s="281"/>
    </row>
    <row r="609" customFormat="false" ht="12.8" hidden="false" customHeight="false" outlineLevel="0" collapsed="false">
      <c r="G609" s="271"/>
    </row>
    <row r="610" customFormat="false" ht="12.8" hidden="false" customHeight="false" outlineLevel="0" collapsed="false">
      <c r="G610" s="271"/>
    </row>
    <row r="611" customFormat="false" ht="12.8" hidden="false" customHeight="false" outlineLevel="0" collapsed="false">
      <c r="G611" s="271"/>
    </row>
    <row r="612" customFormat="false" ht="12.8" hidden="false" customHeight="false" outlineLevel="0" collapsed="false">
      <c r="G612" s="271"/>
    </row>
    <row r="613" customFormat="false" ht="12.8" hidden="false" customHeight="false" outlineLevel="0" collapsed="false">
      <c r="G613" s="271"/>
    </row>
    <row r="614" customFormat="false" ht="12.8" hidden="false" customHeight="false" outlineLevel="0" collapsed="false">
      <c r="G614" s="271"/>
    </row>
  </sheetData>
  <hyperlinks>
    <hyperlink ref="A6" location="CHART12!A61" display="つぎへ"/>
    <hyperlink ref="A7" location="CHART12!A561" display="まえへ"/>
    <hyperlink ref="J54" r:id="rId1" display="　らじあん　( ctrl + クリック )  "/>
    <hyperlink ref="Z55" r:id="rId2" display="rad"/>
    <hyperlink ref="A56" location="CHART12!A111" display="つぎへ"/>
    <hyperlink ref="T56" r:id="rId3" display="▼　せつめい  "/>
    <hyperlink ref="A57" location="CHART12!A11" display="まえへ"/>
    <hyperlink ref="T57" r:id="rId4" display="▼　らじあん"/>
    <hyperlink ref="Z105" r:id="rId5" display="rad"/>
    <hyperlink ref="A106" location="CHART12!A161" display="つぎへ"/>
    <hyperlink ref="T106" r:id="rId6" display="▼　せつめい  "/>
    <hyperlink ref="A107" location="CHART12!A61" display="まえへ"/>
    <hyperlink ref="T107" r:id="rId7" display="▼　らじあん"/>
    <hyperlink ref="A156" location="CHART12!A211" display="つぎへ"/>
    <hyperlink ref="T156" r:id="rId8" display="▼　せつめい  "/>
    <hyperlink ref="A157" location="CHART12!A111" display="まえへ"/>
    <hyperlink ref="T157" r:id="rId9" display="▼　ぱ　い"/>
    <hyperlink ref="A206" location="CHART12!A261" display="つぎへ"/>
    <hyperlink ref="A207" location="CHART12!A161" display="まえへ"/>
    <hyperlink ref="A256" location="CHART12!A311" display="つぎへ"/>
    <hyperlink ref="A257" location="CHART12!A211" display="まえへ"/>
    <hyperlink ref="A306" location="CHART12!A361" display="つぎへ"/>
    <hyperlink ref="A307" location="CHART12!A261" display="まえへ"/>
    <hyperlink ref="T355" r:id="rId10" display="　せつめい　(ctrl + クリック)  "/>
    <hyperlink ref="Z355" r:id="rId11" display="8quad"/>
    <hyperlink ref="A356" location="CHART12!A411" display="つぎへ"/>
    <hyperlink ref="A357" location="CHART12!A311" display="まえへ"/>
    <hyperlink ref="T405" r:id="rId12" display="　せつめい　(ctrl + クリック)  "/>
    <hyperlink ref="Z405" r:id="rId13" display="8quad"/>
    <hyperlink ref="A406" location="CHART12!A461" display="つぎへ"/>
    <hyperlink ref="A407" location="CHART12!A361" display="まえへ"/>
    <hyperlink ref="T455" r:id="rId14" display="　せつめい　(ctrl + クリック)  "/>
    <hyperlink ref="Z455" r:id="rId15" display="8quad"/>
    <hyperlink ref="A456" location="CHART12!A511" display="つぎへ"/>
    <hyperlink ref="A457" location="CHART12!A411" display="まえへ"/>
    <hyperlink ref="T505" r:id="rId16" display="　せつめい　(ctrl + クリック)  "/>
    <hyperlink ref="Z505" r:id="rId17" display="8quad"/>
    <hyperlink ref="A506" location="CHART12!A561" display="つぎへ"/>
    <hyperlink ref="A507" location="CHART12!A461" display="まえへ"/>
    <hyperlink ref="A556" location="CHART12!A11" display="つぎへ"/>
    <hyperlink ref="A557" location="CHART12!A511" display="まえへ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864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2023-10-13T19:59:46Z</dcterms:created>
  <dc:creator/>
  <dc:description/>
  <dc:language>ja-JP</dc:language>
  <cp:lastModifiedBy/>
  <dcterms:modified xsi:type="dcterms:W3CDTF">2025-07-17T20:42:08Z</dcterms:modified>
  <cp:revision>198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