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9.jpeg" ContentType="image/jpeg"/>
  <Override PartName="/xl/media/image10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8-changer" sheetId="1" state="visible" r:id="rId2"/>
    <sheet name="earth" sheetId="2" state="visible" r:id="rId3"/>
    <sheet name="sepa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<sst xmlns="http://schemas.openxmlformats.org/spreadsheetml/2006/main" count="272" uniqueCount="144">
  <si>
    <t xml:space="preserve">kakuninchuu</t>
  </si>
  <si>
    <t xml:space="preserve">20250908 up</t>
  </si>
  <si>
    <t xml:space="preserve">250908 up</t>
  </si>
  <si>
    <t xml:space="preserve">（Ｇ８）「そくめんみあげ」  →　「みひらき」　</t>
  </si>
  <si>
    <t xml:space="preserve">山　ヨ　→　８　しゅへんかん</t>
  </si>
  <si>
    <t xml:space="preserve">250422 up</t>
  </si>
  <si>
    <t xml:space="preserve">小数位６ケタクオリティで７ケタめの切上の影響をなくすために、Rounddown を　上下 各１２式 （計２４式）に　追加した</t>
  </si>
  <si>
    <t xml:space="preserve">みひらき</t>
  </si>
  <si>
    <r>
      <rPr>
        <sz val="10"/>
        <rFont val="メイリオ"/>
        <family val="2"/>
        <charset val="128"/>
      </rPr>
      <t xml:space="preserve">じこく </t>
    </r>
    <r>
      <rPr>
        <sz val="10"/>
        <rFont val="Arial"/>
        <family val="2"/>
        <charset val="128"/>
      </rPr>
      <t xml:space="preserve">12 </t>
    </r>
    <r>
      <rPr>
        <sz val="10"/>
        <rFont val="メイリオ"/>
        <family val="2"/>
        <charset val="128"/>
      </rPr>
      <t xml:space="preserve">じ より</t>
    </r>
  </si>
  <si>
    <r>
      <rPr>
        <sz val="10"/>
        <color rgb="FFFFBF00"/>
        <rFont val="Arial"/>
        <family val="2"/>
        <charset val="128"/>
      </rPr>
      <t xml:space="preserve">XYZ </t>
    </r>
    <r>
      <rPr>
        <sz val="10"/>
        <color rgb="FFFFBF00"/>
        <rFont val="メイリオ"/>
        <family val="2"/>
        <charset val="128"/>
      </rPr>
      <t xml:space="preserve">３</t>
    </r>
    <r>
      <rPr>
        <sz val="10"/>
        <color rgb="FFFFBF00"/>
        <rFont val="Arial"/>
        <family val="2"/>
        <charset val="128"/>
      </rPr>
      <t xml:space="preserve">D </t>
    </r>
    <r>
      <rPr>
        <sz val="10"/>
        <color rgb="FFFFBF00"/>
        <rFont val="メイリオ"/>
        <family val="2"/>
        <charset val="128"/>
      </rPr>
      <t xml:space="preserve">ピタゴラス</t>
    </r>
  </si>
  <si>
    <t xml:space="preserve">250419 up</t>
  </si>
  <si>
    <t xml:space="preserve">結果値　変換角度　表示桁数　を　４ケタふやした</t>
  </si>
  <si>
    <r>
      <rPr>
        <sz val="13"/>
        <rFont val="メイリオ"/>
        <family val="2"/>
        <charset val="128"/>
      </rPr>
      <t xml:space="preserve">山</t>
    </r>
    <r>
      <rPr>
        <sz val="14"/>
        <rFont val="メイリオ"/>
        <family val="2"/>
        <charset val="128"/>
      </rPr>
      <t xml:space="preserve">　∠ </t>
    </r>
  </si>
  <si>
    <t xml:space="preserve"> ど</t>
  </si>
  <si>
    <t xml:space="preserve">ヨ　∠ </t>
  </si>
  <si>
    <t xml:space="preserve">Ｒ１球面座標</t>
  </si>
  <si>
    <t xml:space="preserve">x</t>
  </si>
  <si>
    <t xml:space="preserve">ｉ</t>
  </si>
  <si>
    <t xml:space="preserve">ｊ</t>
  </si>
  <si>
    <r>
      <rPr>
        <sz val="10"/>
        <color rgb="FFB2B2B2"/>
        <rFont val="Arial"/>
        <family val="2"/>
        <charset val="128"/>
      </rPr>
      <t xml:space="preserve">0</t>
    </r>
    <r>
      <rPr>
        <sz val="10"/>
        <color rgb="FFB2B2B2"/>
        <rFont val="メイリオ"/>
        <family val="2"/>
        <charset val="128"/>
      </rPr>
      <t xml:space="preserve">～</t>
    </r>
    <r>
      <rPr>
        <sz val="10"/>
        <color rgb="FFB2B2B2"/>
        <rFont val="Arial"/>
        <family val="2"/>
        <charset val="128"/>
      </rPr>
      <t xml:space="preserve">180 </t>
    </r>
    <r>
      <rPr>
        <sz val="10"/>
        <color rgb="FFB2B2B2"/>
        <rFont val="メイリオ"/>
        <family val="2"/>
        <charset val="128"/>
      </rPr>
      <t xml:space="preserve">ど</t>
    </r>
  </si>
  <si>
    <t xml:space="preserve">半径１の確認</t>
  </si>
  <si>
    <t xml:space="preserve">241212 up</t>
  </si>
  <si>
    <t xml:space="preserve">下半頁 (cho°→８種変換)　Mod 浮動点小数　Libre は うまくいっていたが、Excel では うまくいってなかった。INT や RGHIT で 両対応させた</t>
  </si>
  <si>
    <t xml:space="preserve">チョモグラード 　</t>
  </si>
  <si>
    <t xml:space="preserve">  cho°</t>
  </si>
  <si>
    <t xml:space="preserve">　に　なります</t>
  </si>
  <si>
    <t xml:space="preserve">241203 up</t>
  </si>
  <si>
    <t xml:space="preserve">ふりむき θ －180°　→　＋180°　に　した　５種類</t>
  </si>
  <si>
    <t xml:space="preserve">にえんかく</t>
  </si>
  <si>
    <t xml:space="preserve">ふりむき　∠　θ　</t>
  </si>
  <si>
    <t xml:space="preserve">ど</t>
  </si>
  <si>
    <t xml:space="preserve">みあげ　∠ Ψ　</t>
  </si>
  <si>
    <t xml:space="preserve">241202 up</t>
  </si>
  <si>
    <t xml:space="preserve">モン　の　山値　ガラパゴス　島　ジンバルロック　たいおう　(ABS)</t>
  </si>
  <si>
    <t xml:space="preserve">にめんかく</t>
  </si>
  <si>
    <t xml:space="preserve">みおろし  ∠ Φ　</t>
  </si>
  <si>
    <t xml:space="preserve">cho°　→　８カンスウ値　下に　追加</t>
  </si>
  <si>
    <t xml:space="preserve">にみんかく</t>
  </si>
  <si>
    <t xml:space="preserve">あーるひ　Ｒ　</t>
  </si>
  <si>
    <t xml:space="preserve"> ％</t>
  </si>
  <si>
    <t xml:space="preserve">にうんかく</t>
  </si>
  <si>
    <t xml:space="preserve">たかさ　ｊ　</t>
  </si>
  <si>
    <t xml:space="preserve">cm</t>
  </si>
  <si>
    <t xml:space="preserve">にてんかく</t>
  </si>
  <si>
    <r>
      <rPr>
        <sz val="10"/>
        <rFont val="メイリオ"/>
        <family val="2"/>
        <charset val="128"/>
      </rPr>
      <t xml:space="preserve">りつめん　∠</t>
    </r>
    <r>
      <rPr>
        <sz val="8"/>
        <rFont val="メイリオ"/>
        <family val="2"/>
        <charset val="128"/>
      </rPr>
      <t xml:space="preserve">　巾　</t>
    </r>
  </si>
  <si>
    <t xml:space="preserve">241130 up</t>
  </si>
  <si>
    <t xml:space="preserve">８カンスウ値 上へ　移動</t>
  </si>
  <si>
    <t xml:space="preserve">にりんかく</t>
  </si>
  <si>
    <r>
      <rPr>
        <sz val="10"/>
        <rFont val="メイリオ"/>
        <family val="2"/>
        <charset val="128"/>
      </rPr>
      <t xml:space="preserve">そくめん　∠</t>
    </r>
    <r>
      <rPr>
        <sz val="8"/>
        <rFont val="メイリオ"/>
        <family val="2"/>
        <charset val="128"/>
      </rPr>
      <t xml:space="preserve">　山　</t>
    </r>
  </si>
  <si>
    <r>
      <rPr>
        <sz val="10"/>
        <rFont val="Arial"/>
        <family val="2"/>
        <charset val="128"/>
      </rPr>
      <t xml:space="preserve"> θ</t>
    </r>
    <r>
      <rPr>
        <sz val="10"/>
        <rFont val="メイリオ"/>
        <family val="2"/>
        <charset val="128"/>
      </rPr>
      <t xml:space="preserve">　が　ぎゃくかいてん　に　かんじるひとへ</t>
    </r>
  </si>
  <si>
    <t xml:space="preserve">241127 up</t>
  </si>
  <si>
    <t xml:space="preserve">山　の　入力　を　0 ～ 180 ど　の　はんい　に　していした　(G10)</t>
  </si>
  <si>
    <t xml:space="preserve">にもんかく</t>
  </si>
  <si>
    <r>
      <rPr>
        <sz val="10"/>
        <rFont val="Arial"/>
        <family val="2"/>
        <charset val="128"/>
      </rPr>
      <t xml:space="preserve">    θ</t>
    </r>
    <r>
      <rPr>
        <sz val="10"/>
        <rFont val="メイリオ"/>
        <family val="2"/>
        <charset val="128"/>
      </rPr>
      <t xml:space="preserve">　 は　ひだりまわり　を　せい </t>
    </r>
    <r>
      <rPr>
        <sz val="10"/>
        <rFont val="Arial"/>
        <family val="2"/>
        <charset val="128"/>
      </rPr>
      <t xml:space="preserve">( </t>
    </r>
    <r>
      <rPr>
        <sz val="10"/>
        <rFont val="メイリオ"/>
        <family val="2"/>
        <charset val="128"/>
      </rPr>
      <t xml:space="preserve">プラス 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かいてん　に　しています</t>
    </r>
  </si>
  <si>
    <t xml:space="preserve">↑　入力 エラー メッセージ　(H12)</t>
  </si>
  <si>
    <t xml:space="preserve">まえへ ｘ</t>
  </si>
  <si>
    <t xml:space="preserve">にげんかく</t>
  </si>
  <si>
    <t xml:space="preserve">よこへ　ｉ　</t>
  </si>
  <si>
    <t xml:space="preserve">うえへ　ｊ　</t>
  </si>
  <si>
    <r>
      <rPr>
        <sz val="10"/>
        <rFont val="メイリオ"/>
        <family val="2"/>
        <charset val="128"/>
      </rPr>
      <t xml:space="preserve">   ヨ　は　とけいまわり　を　せい </t>
    </r>
    <r>
      <rPr>
        <sz val="10"/>
        <rFont val="Arial"/>
        <family val="2"/>
        <charset val="128"/>
      </rPr>
      <t xml:space="preserve">( </t>
    </r>
    <r>
      <rPr>
        <sz val="10"/>
        <rFont val="メイリオ"/>
        <family val="2"/>
        <charset val="128"/>
      </rPr>
      <t xml:space="preserve">プラス 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かいてん　に　しています　</t>
    </r>
    <r>
      <rPr>
        <sz val="10"/>
        <rFont val="Arial"/>
        <family val="2"/>
        <charset val="128"/>
      </rPr>
      <t xml:space="preserve">(</t>
    </r>
    <r>
      <rPr>
        <sz val="10"/>
        <rFont val="メイリオ"/>
        <family val="2"/>
        <charset val="128"/>
      </rPr>
      <t xml:space="preserve">　みぎまわり　プラス　</t>
    </r>
    <r>
      <rPr>
        <sz val="10"/>
        <rFont val="Arial"/>
        <family val="2"/>
        <charset val="128"/>
      </rPr>
      <t xml:space="preserve">)</t>
    </r>
  </si>
  <si>
    <t xml:space="preserve">ヨ の いっぱんかく　うめこみ　(J4)  +  ここに　山　180° 判別　も　まとめた</t>
  </si>
  <si>
    <r>
      <rPr>
        <sz val="10"/>
        <rFont val="メイリオ"/>
        <family val="2"/>
        <charset val="128"/>
      </rPr>
      <t xml:space="preserve">   ヨ　を　</t>
    </r>
    <r>
      <rPr>
        <sz val="10"/>
        <rFont val="Arial"/>
        <family val="2"/>
        <charset val="128"/>
      </rPr>
      <t xml:space="preserve">180</t>
    </r>
    <r>
      <rPr>
        <sz val="10"/>
        <rFont val="メイリオ"/>
        <family val="2"/>
        <charset val="128"/>
      </rPr>
      <t xml:space="preserve">　ど　より　おおきく　すると　 プラス　</t>
    </r>
    <r>
      <rPr>
        <sz val="10"/>
        <rFont val="Arial"/>
        <family val="2"/>
        <charset val="128"/>
      </rPr>
      <t xml:space="preserve">θ</t>
    </r>
    <r>
      <rPr>
        <sz val="10"/>
        <rFont val="メイリオ"/>
        <family val="2"/>
        <charset val="128"/>
      </rPr>
      <t xml:space="preserve">　に　なります</t>
    </r>
  </si>
  <si>
    <t xml:space="preserve">ヨ の 時方向　↑(J4)　より</t>
  </si>
  <si>
    <t xml:space="preserve">ヨ の 一時十分儀抜粋値　↑(J4)　より　とって　逆時計回りも　対応　</t>
  </si>
  <si>
    <t xml:space="preserve">チョモグラード　→　８　しゅへんかん</t>
  </si>
  <si>
    <t xml:space="preserve">半径 １ の 確認</t>
  </si>
  <si>
    <t xml:space="preserve">　cho°</t>
  </si>
  <si>
    <t xml:space="preserve"> Ｒ１球面座標化</t>
  </si>
  <si>
    <t xml:space="preserve">山　∠ </t>
  </si>
  <si>
    <t xml:space="preserve"> d兀</t>
  </si>
  <si>
    <t xml:space="preserve"> dturn</t>
  </si>
  <si>
    <t xml:space="preserve"> rad</t>
  </si>
  <si>
    <t xml:space="preserve">20250425 up</t>
  </si>
  <si>
    <t xml:space="preserve">ちきゅう　チョモグラード　へんかん</t>
  </si>
  <si>
    <r>
      <rPr>
        <sz val="10"/>
        <color rgb="FFEEEEEE"/>
        <rFont val="メイリオ"/>
        <family val="2"/>
        <charset val="128"/>
      </rPr>
      <t xml:space="preserve">ヌルとう　が　</t>
    </r>
    <r>
      <rPr>
        <sz val="10"/>
        <color rgb="FFEEEEEE"/>
        <rFont val="Arial"/>
        <family val="2"/>
        <charset val="128"/>
      </rPr>
      <t xml:space="preserve">0</t>
    </r>
    <r>
      <rPr>
        <sz val="10"/>
        <color rgb="FFEEEEEE"/>
        <rFont val="メイリオ"/>
        <family val="2"/>
        <charset val="128"/>
      </rPr>
      <t xml:space="preserve">　</t>
    </r>
    <r>
      <rPr>
        <sz val="10"/>
        <color rgb="FFEEEEEE"/>
        <rFont val="Arial"/>
        <family val="2"/>
        <charset val="128"/>
      </rPr>
      <t xml:space="preserve">cho°</t>
    </r>
  </si>
  <si>
    <t xml:space="preserve">とうけい</t>
  </si>
  <si>
    <t xml:space="preserve">ほくい</t>
  </si>
  <si>
    <t xml:space="preserve">∠　θ　</t>
  </si>
  <si>
    <t xml:space="preserve">　ど</t>
  </si>
  <si>
    <t xml:space="preserve">∠　 Ψ　</t>
  </si>
  <si>
    <t xml:space="preserve">チョモグラード  　　</t>
  </si>
  <si>
    <t xml:space="preserve">cho°</t>
  </si>
  <si>
    <t xml:space="preserve">詳 細</t>
  </si>
  <si>
    <t xml:space="preserve">参考１図</t>
  </si>
  <si>
    <t xml:space="preserve">参考２図</t>
  </si>
  <si>
    <r>
      <rPr>
        <sz val="10"/>
        <rFont val="Arial"/>
        <family val="2"/>
        <charset val="128"/>
      </rPr>
      <t xml:space="preserve"> θ</t>
    </r>
    <r>
      <rPr>
        <sz val="10"/>
        <rFont val="メイリオ"/>
        <family val="2"/>
        <charset val="128"/>
      </rPr>
      <t xml:space="preserve">　 は　ひだりまわり　を　せい </t>
    </r>
    <r>
      <rPr>
        <sz val="10"/>
        <rFont val="Arial"/>
        <family val="2"/>
        <charset val="128"/>
      </rPr>
      <t xml:space="preserve">( </t>
    </r>
    <r>
      <rPr>
        <sz val="10"/>
        <rFont val="メイリオ"/>
        <family val="2"/>
        <charset val="128"/>
      </rPr>
      <t xml:space="preserve">プラス 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かいてん　に　しています</t>
    </r>
  </si>
  <si>
    <r>
      <rPr>
        <sz val="10"/>
        <rFont val="メイリオ"/>
        <family val="2"/>
        <charset val="128"/>
      </rPr>
      <t xml:space="preserve">ヨ　は　とけいまわり　を　せい </t>
    </r>
    <r>
      <rPr>
        <sz val="10"/>
        <rFont val="Arial"/>
        <family val="2"/>
        <charset val="128"/>
      </rPr>
      <t xml:space="preserve">( </t>
    </r>
    <r>
      <rPr>
        <sz val="10"/>
        <rFont val="メイリオ"/>
        <family val="2"/>
        <charset val="128"/>
      </rPr>
      <t xml:space="preserve">プラス 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かいてん　に　しています　</t>
    </r>
    <r>
      <rPr>
        <sz val="10"/>
        <rFont val="Arial"/>
        <family val="2"/>
        <charset val="128"/>
      </rPr>
      <t xml:space="preserve">(</t>
    </r>
    <r>
      <rPr>
        <sz val="10"/>
        <rFont val="メイリオ"/>
        <family val="2"/>
        <charset val="128"/>
      </rPr>
      <t xml:space="preserve">　みぎまわり　プラス　</t>
    </r>
    <r>
      <rPr>
        <sz val="10"/>
        <rFont val="Arial"/>
        <family val="2"/>
        <charset val="128"/>
      </rPr>
      <t xml:space="preserve">)</t>
    </r>
  </si>
  <si>
    <t xml:space="preserve">山</t>
  </si>
  <si>
    <t xml:space="preserve">ヨ</t>
  </si>
  <si>
    <r>
      <rPr>
        <sz val="10"/>
        <rFont val="メイリオ"/>
        <family val="2"/>
        <charset val="128"/>
      </rPr>
      <t xml:space="preserve">ヨ　を　</t>
    </r>
    <r>
      <rPr>
        <sz val="10"/>
        <rFont val="Arial"/>
        <family val="2"/>
        <charset val="128"/>
      </rPr>
      <t xml:space="preserve">180</t>
    </r>
    <r>
      <rPr>
        <sz val="10"/>
        <rFont val="メイリオ"/>
        <family val="2"/>
        <charset val="128"/>
      </rPr>
      <t xml:space="preserve">　ど　より　おおきく　すると　 プラス　</t>
    </r>
    <r>
      <rPr>
        <sz val="10"/>
        <rFont val="Arial"/>
        <family val="2"/>
        <charset val="128"/>
      </rPr>
      <t xml:space="preserve">θ</t>
    </r>
    <r>
      <rPr>
        <sz val="10"/>
        <rFont val="メイリオ"/>
        <family val="2"/>
        <charset val="128"/>
      </rPr>
      <t xml:space="preserve">　に　なります</t>
    </r>
  </si>
  <si>
    <t xml:space="preserve">cho° 山 ヨ ぶんり</t>
  </si>
  <si>
    <t xml:space="preserve">ひらき　∠　</t>
  </si>
  <si>
    <t xml:space="preserve">とけい　∠　</t>
  </si>
  <si>
    <t xml:space="preserve">÷ 18</t>
  </si>
  <si>
    <t xml:space="preserve"> ｄ兀</t>
  </si>
  <si>
    <t xml:space="preserve">÷ 36</t>
  </si>
  <si>
    <t xml:space="preserve"> ｄturn</t>
  </si>
  <si>
    <t xml:space="preserve">ｘ</t>
  </si>
  <si>
    <t xml:space="preserve">まえへ　</t>
  </si>
  <si>
    <t xml:space="preserve">よこへ　</t>
  </si>
  <si>
    <t xml:space="preserve">うえへ　</t>
  </si>
  <si>
    <t xml:space="preserve">250425 up</t>
  </si>
  <si>
    <t xml:space="preserve">赤文字案内の角度　２段階目(∠ 1.0～ 2.8ど →　1～3ど)　　３段階目(∠ 2.2～ 5.7ど →　2～6ど)　に　変更</t>
  </si>
  <si>
    <t xml:space="preserve">250423 up</t>
  </si>
  <si>
    <t xml:space="preserve">G7-J7 が　未入力のとき　ほぼ ０cho°の赤文字案内が でることを修正。　G37-38-39 に if 判定 追加。</t>
  </si>
  <si>
    <t xml:space="preserve">0.5度　2度　4度　山ヨ誤差　で　３段階の　赤文字案内を　だすことにした。　H11-12-13 , GJ42-43-44。参考画像2個追加。O20-21。</t>
  </si>
  <si>
    <t xml:space="preserve">250421 up</t>
  </si>
  <si>
    <t xml:space="preserve">Rounddown を 山 と ヨ で それぞれ おこない。合計して 再度 Rounddown を やることで、 ピッタリ 10cho° ズレ を 回避</t>
  </si>
  <si>
    <t xml:space="preserve">自然数ピンポイント付近の方向の時の参照ピンポイントを追加。セル仮 H13 , H17 , GHIJ-19 , GJ-38 ,</t>
  </si>
  <si>
    <t xml:space="preserve">241213 up</t>
  </si>
  <si>
    <t xml:space="preserve">Mod 浮動点小数　Libre は うまくいっていたが、Excel では うまくいってなかった。INT や RGHIT で 両対応させた</t>
  </si>
  <si>
    <t xml:space="preserve">にえんかく　の　らん　→　山ヨ ぶんり　スペース　に　へんこう　( 移動 )</t>
  </si>
  <si>
    <t xml:space="preserve">241128 up </t>
  </si>
  <si>
    <t xml:space="preserve">100 cho° ( θ180 Ψ0) が うまくいくように、(J11) に Ｘ＝－1なら 0 対応 追加</t>
  </si>
  <si>
    <r>
      <rPr>
        <b val="true"/>
        <sz val="16"/>
        <color rgb="FFFFFFFF"/>
        <rFont val="Arial"/>
        <family val="2"/>
        <charset val="128"/>
      </rPr>
      <t xml:space="preserve">   cho°</t>
    </r>
    <r>
      <rPr>
        <b val="true"/>
        <sz val="16"/>
        <color rgb="FFFFFFFF"/>
        <rFont val="メイリオ"/>
        <family val="2"/>
        <charset val="128"/>
      </rPr>
      <t xml:space="preserve">　→　</t>
    </r>
    <r>
      <rPr>
        <b val="true"/>
        <sz val="16"/>
        <color rgb="FFFFFFFF"/>
        <rFont val="Arial"/>
        <family val="2"/>
        <charset val="128"/>
      </rPr>
      <t xml:space="preserve">°</t>
    </r>
  </si>
  <si>
    <r>
      <rPr>
        <b val="true"/>
        <sz val="16"/>
        <color rgb="FFFFFFFF"/>
        <rFont val="Arial"/>
        <family val="2"/>
        <charset val="128"/>
      </rPr>
      <t xml:space="preserve">  °</t>
    </r>
    <r>
      <rPr>
        <b val="true"/>
        <sz val="16"/>
        <color rgb="FFFFFFFF"/>
        <rFont val="メイリオ"/>
        <family val="2"/>
        <charset val="128"/>
      </rPr>
      <t xml:space="preserve">　→　</t>
    </r>
    <r>
      <rPr>
        <b val="true"/>
        <sz val="16"/>
        <color rgb="FFFFFFFF"/>
        <rFont val="Arial"/>
        <family val="2"/>
        <charset val="128"/>
      </rPr>
      <t xml:space="preserve">cho°</t>
    </r>
  </si>
  <si>
    <r>
      <rPr>
        <b val="true"/>
        <sz val="15"/>
        <rFont val="メイリオ"/>
        <family val="2"/>
        <charset val="128"/>
      </rPr>
      <t xml:space="preserve">　</t>
    </r>
    <r>
      <rPr>
        <b val="true"/>
        <sz val="15"/>
        <rFont val="Arial"/>
        <family val="2"/>
        <charset val="128"/>
      </rPr>
      <t xml:space="preserve">cho°</t>
    </r>
  </si>
  <si>
    <t xml:space="preserve"> °</t>
  </si>
  <si>
    <t xml:space="preserve">radians</t>
  </si>
  <si>
    <t xml:space="preserve">＝　∠　</t>
  </si>
  <si>
    <t xml:space="preserve">  ＝ ∠　</t>
  </si>
  <si>
    <t xml:space="preserve"> 兀</t>
  </si>
  <si>
    <t xml:space="preserve">A山　∠ </t>
  </si>
  <si>
    <t xml:space="preserve">Aヨ　∠ </t>
  </si>
  <si>
    <r>
      <rPr>
        <sz val="10"/>
        <color rgb="FFB2B2B2"/>
        <rFont val="Arial"/>
        <family val="2"/>
        <charset val="128"/>
      </rPr>
      <t xml:space="preserve">÷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18</t>
    </r>
  </si>
  <si>
    <r>
      <rPr>
        <sz val="10"/>
        <color rgb="FFB2B2B2"/>
        <rFont val="Arial"/>
        <family val="2"/>
        <charset val="128"/>
      </rPr>
      <t xml:space="preserve">÷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36</t>
    </r>
  </si>
  <si>
    <t xml:space="preserve">廿分儀山角度抜粋値</t>
  </si>
  <si>
    <t xml:space="preserve">十分儀ヨ角度抜粋値</t>
  </si>
  <si>
    <r>
      <rPr>
        <sz val="10"/>
        <color rgb="FFDDDDDD"/>
        <rFont val="Arial"/>
        <family val="2"/>
        <charset val="128"/>
      </rPr>
      <t xml:space="preserve"> d</t>
    </r>
    <r>
      <rPr>
        <sz val="10"/>
        <color rgb="FFDDDDDD"/>
        <rFont val="メイリオ"/>
        <family val="2"/>
        <charset val="128"/>
      </rPr>
      <t xml:space="preserve">兀値</t>
    </r>
  </si>
  <si>
    <r>
      <rPr>
        <sz val="10"/>
        <color rgb="FFDDDDDD"/>
        <rFont val="Arial"/>
        <family val="2"/>
        <charset val="128"/>
      </rPr>
      <t xml:space="preserve"> dturn</t>
    </r>
    <r>
      <rPr>
        <sz val="10"/>
        <color rgb="FFDDDDDD"/>
        <rFont val="メイリオ"/>
        <family val="2"/>
        <charset val="128"/>
      </rPr>
      <t xml:space="preserve">値</t>
    </r>
  </si>
  <si>
    <t xml:space="preserve">100M</t>
  </si>
  <si>
    <t xml:space="preserve">10M</t>
  </si>
  <si>
    <t xml:space="preserve">1M</t>
  </si>
  <si>
    <t xml:space="preserve"> cho°               +</t>
  </si>
  <si>
    <t xml:space="preserve"> cho°</t>
  </si>
  <si>
    <t xml:space="preserve">修正記録</t>
  </si>
  <si>
    <t xml:space="preserve">左側</t>
  </si>
  <si>
    <t xml:space="preserve">241127up</t>
  </si>
  <si>
    <t xml:space="preserve">ヨが　10　を　こさないように　(E43)に　MOD10　を つけた</t>
  </si>
  <si>
    <t xml:space="preserve">100 cho°　に　対応　させるために　(C46: 空白だった)　に　IF(D1=100,10,0)　を つけた</t>
  </si>
  <si>
    <t xml:space="preserve">0 cho°　の　ゼロジョザン　に　対応　させるために　SIGN(D7)　→　SIGN(IF(D7=0,1,D7))　にした</t>
  </si>
  <si>
    <t xml:space="preserve">右側</t>
  </si>
  <si>
    <t xml:space="preserve">(J1)　(L1) 　を　最上段　に　移動させた</t>
  </si>
  <si>
    <t xml:space="preserve">マイナス ヨ　も　とけい　まわり　時刻　で　 だせるように　(L9)　を　(L1:いっぱんかく)　から　ひろうようにした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</si>
</sst>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0.000000&quot;  rad&quot;"/>
    <numFmt numFmtId="166" formatCode="General"/>
    <numFmt numFmtId="167" formatCode="0.000000&quot; °&quot;"/>
    <numFmt numFmtId="168" formatCode="#,##0.000000"/>
    <numFmt numFmtId="169" formatCode="0.#&quot;  時方向&quot;"/>
    <numFmt numFmtId="170" formatCode="0.000000"/>
    <numFmt numFmtId="171" formatCode="#,##0.0000000"/>
    <numFmt numFmtId="172" formatCode="0&quot; cm&quot;"/>
    <numFmt numFmtId="173" formatCode="#,##0.000"/>
    <numFmt numFmtId="174" formatCode="0.0000000"/>
    <numFmt numFmtId="175" formatCode="#,##0.0"/>
    <numFmt numFmtId="176" formatCode="&quot;ヨ   &quot;#.##&quot; °&quot;"/>
    <numFmt numFmtId="177" formatCode="#,##0.0000"/>
    <numFmt numFmtId="178" formatCode="#,##0.00"/>
    <numFmt numFmtId="179" formatCode="0.000"/>
    <numFmt numFmtId="180" formatCode="0.00000000"/>
    <numFmt numFmtId="181" formatCode="0.0&quot; cm&quot;"/>
    <numFmt numFmtId="182" formatCode="0.####"/>
    <numFmt numFmtId="183" formatCode="0.00000"/>
    <numFmt numFmtId="184" formatCode="0.########"/>
    <numFmt numFmtId="185" formatCode="#,##0.0000000000"/>
    <numFmt numFmtId="186" formatCode="#,##0.00000000000"/>
    <numFmt numFmtId="187" formatCode="#,##0.000000000000"/>
    <numFmt numFmtId="188" formatCode="0.0000000000"/>
    <numFmt numFmtId="189" formatCode="0.00"/>
  </numFmts>
  <fonts count="66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FFFFFF"/>
      <name val="メイリオ"/>
      <family val="2"/>
      <charset val="128"/>
    </font>
    <font>
      <sz val="10"/>
      <color rgb="FFEEEEEE"/>
      <name val="Arial"/>
      <family val="2"/>
      <charset val="128"/>
    </font>
    <font>
      <sz val="10"/>
      <color rgb="FFFFD7D7"/>
      <name val="メイリオ"/>
      <family val="2"/>
      <charset val="128"/>
    </font>
    <font>
      <sz val="10"/>
      <color rgb="FFFFD428"/>
      <name val="Arial"/>
      <family val="2"/>
      <charset val="128"/>
    </font>
    <font>
      <sz val="10"/>
      <color rgb="FFC9211E"/>
      <name val="メイリオ"/>
      <family val="2"/>
      <charset val="128"/>
    </font>
    <font>
      <sz val="10"/>
      <color rgb="FFFF0000"/>
      <name val="メイリオ"/>
      <family val="2"/>
      <charset val="128"/>
    </font>
    <font>
      <b val="true"/>
      <sz val="14"/>
      <color rgb="FFFF0000"/>
      <name val="メイリオ"/>
      <family val="2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0"/>
      <color rgb="FFDDDDDD"/>
      <name val="メイリオ"/>
      <family val="2"/>
      <charset val="128"/>
    </font>
    <font>
      <i val="true"/>
      <sz val="14"/>
      <name val="メイリオ"/>
      <family val="2"/>
      <charset val="128"/>
    </font>
    <font>
      <sz val="13"/>
      <name val="メイリオ"/>
      <family val="2"/>
      <charset val="128"/>
    </font>
    <font>
      <sz val="10"/>
      <name val="Arial"/>
      <family val="2"/>
      <charset val="128"/>
    </font>
    <font>
      <sz val="12"/>
      <color rgb="FFB2B2B2"/>
      <name val="メイリオ"/>
      <family val="2"/>
      <charset val="128"/>
    </font>
    <font>
      <sz val="10"/>
      <color rgb="FFB2B2B2"/>
      <name val="メイリオ"/>
      <family val="2"/>
      <charset val="128"/>
    </font>
    <font>
      <sz val="10"/>
      <color rgb="FFFFBF00"/>
      <name val="Arial"/>
      <family val="2"/>
      <charset val="128"/>
    </font>
    <font>
      <sz val="10"/>
      <color rgb="FFFFBF00"/>
      <name val="メイリオ"/>
      <family val="2"/>
      <charset val="128"/>
    </font>
    <font>
      <sz val="14"/>
      <name val="メイリオ"/>
      <family val="2"/>
      <charset val="128"/>
    </font>
    <font>
      <b val="true"/>
      <sz val="12"/>
      <name val="メイリオ"/>
      <family val="2"/>
      <charset val="128"/>
    </font>
    <font>
      <sz val="10"/>
      <color rgb="FFCCCCCC"/>
      <name val="Arial"/>
      <family val="2"/>
      <charset val="128"/>
    </font>
    <font>
      <sz val="10"/>
      <color rgb="FFB2B2B2"/>
      <name val="Arial"/>
      <family val="2"/>
      <charset val="128"/>
    </font>
    <font>
      <b val="true"/>
      <sz val="22"/>
      <name val="メイリオ"/>
      <family val="2"/>
      <charset val="128"/>
    </font>
    <font>
      <sz val="10"/>
      <color rgb="FF999999"/>
      <name val="メイリオ"/>
      <family val="2"/>
      <charset val="128"/>
    </font>
    <font>
      <sz val="8"/>
      <name val="メイリオ"/>
      <family val="2"/>
      <charset val="128"/>
    </font>
    <font>
      <b val="true"/>
      <sz val="22"/>
      <color rgb="FFFF0000"/>
      <name val="メイリオ"/>
      <family val="2"/>
      <charset val="128"/>
    </font>
    <font>
      <sz val="10"/>
      <color rgb="FFCCCCCC"/>
      <name val="メイリオ"/>
      <family val="2"/>
      <charset val="128"/>
    </font>
    <font>
      <sz val="10"/>
      <color rgb="FFEEEEEE"/>
      <name val="メイリオ"/>
      <family val="2"/>
      <charset val="128"/>
    </font>
    <font>
      <sz val="10"/>
      <color rgb="FFFFD428"/>
      <name val="メイリオ"/>
      <family val="2"/>
      <charset val="128"/>
    </font>
    <font>
      <sz val="10"/>
      <color rgb="FF999999"/>
      <name val="Arial"/>
      <family val="2"/>
      <charset val="128"/>
    </font>
    <font>
      <sz val="10"/>
      <color rgb="FFC00000"/>
      <name val="メイリオ"/>
      <family val="2"/>
      <charset val="128"/>
    </font>
    <font>
      <sz val="10"/>
      <name val="Arial"/>
      <family val="2"/>
      <charset val="1"/>
    </font>
    <font>
      <b val="true"/>
      <sz val="16"/>
      <name val="メイリオ"/>
      <family val="2"/>
      <charset val="128"/>
    </font>
    <font>
      <sz val="10"/>
      <color rgb="FF0000FF"/>
      <name val="メイリオ"/>
      <family val="2"/>
      <charset val="128"/>
    </font>
    <font>
      <sz val="10"/>
      <color rgb="FFFFFFFF"/>
      <name val="Arial"/>
      <family val="2"/>
      <charset val="128"/>
    </font>
    <font>
      <sz val="10"/>
      <color rgb="FFFFFFFF"/>
      <name val="Arial"/>
      <family val="2"/>
      <charset val="1"/>
    </font>
    <font>
      <b val="true"/>
      <sz val="24"/>
      <color rgb="FFFF0000"/>
      <name val="メイリオ"/>
      <family val="2"/>
      <charset val="128"/>
    </font>
    <font>
      <b val="true"/>
      <sz val="14"/>
      <name val="メイリオ"/>
      <family val="3"/>
      <charset val="128"/>
    </font>
    <font>
      <sz val="10"/>
      <color rgb="FFFF0000"/>
      <name val="MS UI Gothic"/>
      <family val="3"/>
      <charset val="128"/>
    </font>
    <font>
      <b val="true"/>
      <sz val="14"/>
      <name val="Arial"/>
      <family val="2"/>
      <charset val="128"/>
    </font>
    <font>
      <b val="true"/>
      <sz val="14"/>
      <color rgb="FFFF0000"/>
      <name val="Arial"/>
      <family val="2"/>
      <charset val="128"/>
    </font>
    <font>
      <b val="true"/>
      <sz val="12"/>
      <color rgb="FFFF0000"/>
      <name val="メイリオ"/>
      <family val="2"/>
      <charset val="128"/>
    </font>
    <font>
      <sz val="10"/>
      <color rgb="FFE8A202"/>
      <name val="メイリオ"/>
      <family val="2"/>
      <charset val="128"/>
    </font>
    <font>
      <sz val="10"/>
      <color rgb="FFE8A202"/>
      <name val="Arial"/>
      <family val="2"/>
      <charset val="1"/>
    </font>
    <font>
      <b val="true"/>
      <sz val="10"/>
      <color rgb="FFEEEEEE"/>
      <name val="Arial"/>
      <family val="2"/>
      <charset val="128"/>
    </font>
    <font>
      <b val="true"/>
      <sz val="16"/>
      <color rgb="FFFFFFFF"/>
      <name val="Arial"/>
      <family val="2"/>
      <charset val="128"/>
    </font>
    <font>
      <b val="true"/>
      <sz val="16"/>
      <color rgb="FFFFFFFF"/>
      <name val="メイリオ"/>
      <family val="2"/>
      <charset val="128"/>
    </font>
    <font>
      <b val="true"/>
      <sz val="15"/>
      <name val="メイリオ"/>
      <family val="2"/>
      <charset val="128"/>
    </font>
    <font>
      <b val="true"/>
      <sz val="15"/>
      <name val="Arial"/>
      <family val="2"/>
      <charset val="128"/>
    </font>
    <font>
      <sz val="10"/>
      <color rgb="FFB2B2B2"/>
      <name val="メイリオ"/>
      <family val="3"/>
      <charset val="1"/>
    </font>
    <font>
      <b val="true"/>
      <sz val="12"/>
      <name val="Arial"/>
      <family val="2"/>
      <charset val="128"/>
    </font>
    <font>
      <b val="true"/>
      <sz val="14"/>
      <color rgb="FFB2B2B2"/>
      <name val="Arial"/>
      <family val="2"/>
      <charset val="128"/>
    </font>
    <font>
      <sz val="13"/>
      <color rgb="FFB2B2B2"/>
      <name val="メイリオ"/>
      <family val="2"/>
      <charset val="128"/>
    </font>
    <font>
      <b val="true"/>
      <sz val="10"/>
      <color rgb="FF999999"/>
      <name val="Arial"/>
      <family val="2"/>
      <charset val="128"/>
    </font>
    <font>
      <b val="true"/>
      <sz val="8"/>
      <color rgb="FF999999"/>
      <name val="メイリオ"/>
      <family val="2"/>
      <charset val="128"/>
    </font>
    <font>
      <sz val="8"/>
      <color rgb="FFCCCCCC"/>
      <name val="メイリオ"/>
      <family val="2"/>
      <charset val="128"/>
    </font>
    <font>
      <b val="true"/>
      <sz val="10"/>
      <color rgb="FFCCCCCC"/>
      <name val="メイリオ"/>
      <family val="2"/>
      <charset val="128"/>
    </font>
    <font>
      <sz val="10"/>
      <color rgb="FFDDDDDD"/>
      <name val="Arial"/>
      <family val="2"/>
      <charset val="128"/>
    </font>
    <font>
      <sz val="28"/>
      <color rgb="FFCCCCCC"/>
      <name val="メイリオ"/>
      <family val="2"/>
      <charset val="128"/>
    </font>
    <font>
      <b val="true"/>
      <sz val="16"/>
      <color rgb="FFB2B2B2"/>
      <name val="メイリオ"/>
      <family val="2"/>
      <charset val="128"/>
    </font>
    <font>
      <sz val="10"/>
      <color rgb="FFFFA6A6"/>
      <name val="メイリオ"/>
      <family val="2"/>
      <charset val="128"/>
    </font>
    <font>
      <sz val="8"/>
      <color rgb="FFB2B2B2"/>
      <name val="メイリオ"/>
      <family val="2"/>
      <charset val="128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8F8F8"/>
      </patternFill>
    </fill>
    <fill>
      <patternFill patternType="solid">
        <fgColor rgb="FFFFD428"/>
        <bgColor rgb="FFFFBF00"/>
      </patternFill>
    </fill>
    <fill>
      <patternFill patternType="solid">
        <fgColor rgb="FFFFFF00"/>
        <bgColor rgb="FFFFD428"/>
      </patternFill>
    </fill>
    <fill>
      <patternFill patternType="solid">
        <fgColor rgb="FFFFFFA6"/>
        <bgColor rgb="FFE8FF9D"/>
      </patternFill>
    </fill>
    <fill>
      <patternFill patternType="solid">
        <fgColor rgb="FFEEEEEE"/>
        <bgColor rgb="FFE9EEF3"/>
      </patternFill>
    </fill>
    <fill>
      <patternFill patternType="solid">
        <fgColor rgb="FFFFD8CE"/>
        <bgColor rgb="FFFFD7D7"/>
      </patternFill>
    </fill>
    <fill>
      <patternFill patternType="solid">
        <fgColor rgb="FFE8FF9D"/>
        <bgColor rgb="FFFFFFA6"/>
      </patternFill>
    </fill>
    <fill>
      <patternFill patternType="solid">
        <fgColor rgb="FFFFDEFC"/>
        <bgColor rgb="FFFFE8E3"/>
      </patternFill>
    </fill>
    <fill>
      <patternFill patternType="solid">
        <fgColor rgb="FFF8F8F8"/>
        <bgColor rgb="FFF5F5F5"/>
      </patternFill>
    </fill>
    <fill>
      <patternFill patternType="solid">
        <fgColor rgb="FFE2F6F5"/>
        <bgColor rgb="FFE9EEF3"/>
      </patternFill>
    </fill>
    <fill>
      <patternFill patternType="solid">
        <fgColor rgb="FFE2CFFF"/>
        <bgColor rgb="FFDDDDDD"/>
      </patternFill>
    </fill>
    <fill>
      <patternFill patternType="solid">
        <fgColor rgb="FFF5F5F5"/>
        <bgColor rgb="FFF8F8F8"/>
      </patternFill>
    </fill>
    <fill>
      <patternFill patternType="solid">
        <fgColor rgb="FFF9FFCF"/>
        <bgColor rgb="FFFFFFA6"/>
      </patternFill>
    </fill>
    <fill>
      <patternFill patternType="solid">
        <fgColor rgb="FFB2B2B2"/>
        <bgColor rgb="FF999999"/>
      </patternFill>
    </fill>
    <fill>
      <patternFill patternType="solid">
        <fgColor rgb="FF9CB54D"/>
        <bgColor rgb="FF999999"/>
      </patternFill>
    </fill>
    <fill>
      <patternFill patternType="solid">
        <fgColor rgb="FFDDDDDD"/>
        <bgColor rgb="FFE4E4E4"/>
      </patternFill>
    </fill>
    <fill>
      <patternFill patternType="solid">
        <fgColor rgb="FFFFE8E3"/>
        <bgColor rgb="FFEEEEEE"/>
      </patternFill>
    </fill>
    <fill>
      <patternFill patternType="solid">
        <fgColor rgb="FFE4E4E4"/>
        <bgColor rgb="FFDDDDDD"/>
      </patternFill>
    </fill>
    <fill>
      <patternFill patternType="solid">
        <fgColor rgb="FFE9EEF3"/>
        <bgColor rgb="FFEEEEEE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CCCCC"/>
      </left>
      <right/>
      <top style="thin">
        <color rgb="FFCCCCCC"/>
      </top>
      <bottom/>
      <diagonal/>
    </border>
    <border diagonalUp="false" diagonalDown="false">
      <left/>
      <right/>
      <top style="thin">
        <color rgb="FFCCCCCC"/>
      </top>
      <bottom/>
      <diagonal/>
    </border>
    <border diagonalUp="false" diagonalDown="false">
      <left/>
      <right style="thin">
        <color rgb="FFCCCCCC"/>
      </right>
      <top style="thin">
        <color rgb="FFCCCCCC"/>
      </top>
      <bottom/>
      <diagonal/>
    </border>
    <border diagonalUp="false" diagonalDown="false">
      <left style="thin">
        <color rgb="FFCCCCCC"/>
      </left>
      <right/>
      <top/>
      <bottom/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 style="thin">
        <color rgb="FFCCCCCC"/>
      </left>
      <right/>
      <top/>
      <bottom style="thin">
        <color rgb="FFCCCCCC"/>
      </bottom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 style="thin">
        <color rgb="FFE8A202"/>
      </left>
      <right style="thin">
        <color rgb="FFE8A202"/>
      </right>
      <top style="thin">
        <color rgb="FFE8A202"/>
      </top>
      <bottom style="thin">
        <color rgb="FFE8A20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7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4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6" fillId="2" borderId="0" xfId="0" applyFont="true" applyBorder="false" applyAlignment="true" applyProtection="false">
      <alignment horizontal="general" vertical="bottom" textRotation="45" wrapText="false" indent="0" shrinkToFit="false"/>
      <protection locked="true" hidden="false"/>
    </xf>
    <xf numFmtId="164" fontId="2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17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1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1" fontId="17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17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17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1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9" fillId="2" borderId="0" xfId="0" applyFont="true" applyBorder="false" applyAlignment="true" applyProtection="false">
      <alignment horizontal="general" vertical="bottom" textRotation="45" wrapText="false" indent="0" shrinkToFit="false"/>
      <protection locked="true" hidden="false"/>
    </xf>
    <xf numFmtId="171" fontId="17" fillId="1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7" fillId="1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25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17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3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7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5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35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17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5" fontId="3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0" fillId="2" borderId="0" xfId="0" applyFont="true" applyBorder="false" applyAlignment="true" applyProtection="false">
      <alignment horizontal="general" vertical="center" textRotation="45" wrapText="false" indent="0" shrinkToFit="false"/>
      <protection locked="true" hidden="false"/>
    </xf>
    <xf numFmtId="164" fontId="4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0" xfId="0" applyFont="true" applyBorder="false" applyAlignment="true" applyProtection="false">
      <alignment horizontal="general" vertical="center" textRotation="45" wrapText="false" indent="0" shrinkToFit="false"/>
      <protection locked="true" hidden="false"/>
    </xf>
    <xf numFmtId="177" fontId="43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8" fontId="44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5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9" fontId="17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7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1" fontId="17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1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5" fillId="1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1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2" fontId="48" fillId="1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9" fillId="1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9" fillId="1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7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1" fillId="1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2" fillId="1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53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3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2" fillId="1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3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1" fillId="1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8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5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9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1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4" fontId="54" fillId="1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5" fillId="1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1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1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1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7" fontId="43" fillId="1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7" fillId="1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1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2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2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2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8" fillId="2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9" fontId="43" fillId="1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2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2" fontId="6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3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3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8" fontId="6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F5F5F5"/>
      <rgbColor rgb="FFC00000"/>
      <rgbColor rgb="FF008000"/>
      <rgbColor rgb="FF000080"/>
      <rgbColor rgb="FF808000"/>
      <rgbColor rgb="FF800080"/>
      <rgbColor rgb="FF158466"/>
      <rgbColor rgb="FFCCCCCC"/>
      <rgbColor rgb="FFEEEEEE"/>
      <rgbColor rgb="FFB2B2B2"/>
      <rgbColor rgb="FF993366"/>
      <rgbColor rgb="FFF9FFCF"/>
      <rgbColor rgb="FFE2F6F5"/>
      <rgbColor rgb="FF660066"/>
      <rgbColor rgb="FFFFDEFC"/>
      <rgbColor rgb="FF0066CC"/>
      <rgbColor rgb="FFE2CFFF"/>
      <rgbColor rgb="FF000080"/>
      <rgbColor rgb="FFFF00FF"/>
      <rgbColor rgb="FFFFD428"/>
      <rgbColor rgb="FFF8F8F8"/>
      <rgbColor rgb="FF800080"/>
      <rgbColor rgb="FF800000"/>
      <rgbColor rgb="FF008080"/>
      <rgbColor rgb="FF0000FF"/>
      <rgbColor rgb="FF00CCFF"/>
      <rgbColor rgb="FFE9EEF3"/>
      <rgbColor rgb="FFE8FF9D"/>
      <rgbColor rgb="FFFFFFA6"/>
      <rgbColor rgb="FFDDDDDD"/>
      <rgbColor rgb="FFFFA6A6"/>
      <rgbColor rgb="FFFFD7D7"/>
      <rgbColor rgb="FFFFD8CE"/>
      <rgbColor rgb="FF3366FF"/>
      <rgbColor rgb="FFE4E4E4"/>
      <rgbColor rgb="FF9CB54D"/>
      <rgbColor rgb="FFFFBF00"/>
      <rgbColor rgb="FFE8A202"/>
      <rgbColor rgb="FFFFE8E3"/>
      <rgbColor rgb="FF666699"/>
      <rgbColor rgb="FF999999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9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0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4</xdr:col>
      <xdr:colOff>628200</xdr:colOff>
      <xdr:row>18</xdr:row>
      <xdr:rowOff>25560</xdr:rowOff>
    </xdr:from>
    <xdr:to>
      <xdr:col>10</xdr:col>
      <xdr:colOff>583920</xdr:colOff>
      <xdr:row>25</xdr:row>
      <xdr:rowOff>216360</xdr:rowOff>
    </xdr:to>
    <xdr:pic>
      <xdr:nvPicPr>
        <xdr:cNvPr id="0" name="画像 5" descr=""/>
        <xdr:cNvPicPr/>
      </xdr:nvPicPr>
      <xdr:blipFill>
        <a:blip r:embed="rId1"/>
        <a:stretch/>
      </xdr:blipFill>
      <xdr:spPr>
        <a:xfrm>
          <a:off x="3503520" y="4534560"/>
          <a:ext cx="6126480" cy="1702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189000</xdr:colOff>
      <xdr:row>12</xdr:row>
      <xdr:rowOff>177480</xdr:rowOff>
    </xdr:from>
    <xdr:to>
      <xdr:col>11</xdr:col>
      <xdr:colOff>240120</xdr:colOff>
      <xdr:row>15</xdr:row>
      <xdr:rowOff>115200</xdr:rowOff>
    </xdr:to>
    <xdr:pic>
      <xdr:nvPicPr>
        <xdr:cNvPr id="1" name="画像 1" descr=""/>
        <xdr:cNvPicPr/>
      </xdr:nvPicPr>
      <xdr:blipFill>
        <a:blip r:embed="rId1"/>
        <a:stretch/>
      </xdr:blipFill>
      <xdr:spPr>
        <a:xfrm>
          <a:off x="9056880" y="3132000"/>
          <a:ext cx="769680" cy="7873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www.shinsuke-yonebayashi.x0.com/ckesu-/l1l/om/0-k3/kyo/rittai/cho-om1.html" TargetMode="External"/><Relationship Id="rId2" Type="http://schemas.openxmlformats.org/officeDocument/2006/relationships/hyperlink" Target="http://www.shinsuke-yonebayashi.x0.com/ckesu-/l1l/gazo/cho-gra/79-aomori-2.png" TargetMode="External"/><Relationship Id="rId3" Type="http://schemas.openxmlformats.org/officeDocument/2006/relationships/hyperlink" Target="http://www.shinsuke-yonebayashi.x0.com/ckesu-/l1l/gazo/cho-gra/55-center-cho-gif.gif" TargetMode="External"/><Relationship Id="rId4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H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8085937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5.54"/>
    <col collapsed="false" customWidth="true" hidden="false" outlineLevel="0" max="10" min="9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1"/>
      <c r="B1" s="1"/>
      <c r="C1" s="1"/>
      <c r="D1" s="1"/>
      <c r="E1" s="1"/>
      <c r="F1" s="2"/>
      <c r="G1" s="3" t="n">
        <f aca="false">RADIANS(MOD(G6-180,-360)+180)</f>
        <v>0</v>
      </c>
      <c r="H1" s="3"/>
      <c r="I1" s="3"/>
      <c r="J1" s="3" t="n">
        <f aca="false">RADIANS(MOD(J6,360))</f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17" hidden="false" customHeight="true" outlineLevel="0" collapsed="false">
      <c r="A2" s="4" t="s">
        <v>0</v>
      </c>
      <c r="B2" s="1"/>
      <c r="C2" s="1"/>
      <c r="D2" s="1"/>
      <c r="E2" s="1"/>
      <c r="F2" s="5" t="s">
        <v>1</v>
      </c>
      <c r="G2" s="6" t="n">
        <f aca="false">ROUNDDOWN((G6)/18*10^6,-6)/10^5+ MOD(ROUNDDOWN((G6)/18*10^6,-5),1000000)/10^6+ MOD(ROUNDDOWN((G6)/18*10^6,-4),100000)/10^7+ MOD(ROUNDDOWN((G6)/18*10^6,-3),10000)/10^8+ MOD(ROUNDDOWN((G6)/18*10^6,-2),1000)/10^9+ MOD(ROUNDDOWN((G6)/18*10^6,-1),100)/10^10+ MOD(ROUNDDOWN((G6)/18*10^6,0),10)/10^11</f>
        <v>0</v>
      </c>
      <c r="H2" s="6"/>
      <c r="I2" s="6"/>
      <c r="J2" s="6" t="n">
        <f aca="false">ROUNDDOWN((J4)/36*10^6,-6)/10^6+ MOD(ROUNDDOWN((J4)/36*10^6,-5),1000000)/10^7+ MOD(ROUNDDOWN((J4)/36*10^6,-4),100000)/10^8+ MOD(ROUNDDOWN((J4)/36*10^6,-3),10000)/10^9+ MOD(ROUNDDOWN((J4)/36*10^6,-2),1000)/10^10+ MOD(ROUNDDOWN((J4)/36*10^6,-1),100)/10^11+ MOD(ROUNDDOWN((J4)/36*10^6,0),10)/10^12</f>
        <v>0</v>
      </c>
      <c r="K2" s="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C2" s="0" t="s">
        <v>2</v>
      </c>
      <c r="AE2" s="0" t="s">
        <v>3</v>
      </c>
    </row>
    <row r="3" customFormat="false" ht="25.25" hidden="false" customHeight="true" outlineLevel="0" collapsed="false">
      <c r="A3" s="1"/>
      <c r="B3" s="8"/>
      <c r="C3" s="9"/>
      <c r="D3" s="1"/>
      <c r="E3" s="1"/>
      <c r="F3" s="10"/>
      <c r="G3" s="11"/>
      <c r="H3" s="12" t="s">
        <v>4</v>
      </c>
      <c r="I3" s="13"/>
      <c r="J3" s="13"/>
      <c r="K3" s="13"/>
      <c r="L3" s="1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C3" s="0" t="s">
        <v>5</v>
      </c>
      <c r="AE3" s="0" t="s">
        <v>6</v>
      </c>
    </row>
    <row r="4" customFormat="false" ht="17" hidden="false" customHeight="true" outlineLevel="0" collapsed="false">
      <c r="A4" s="14"/>
      <c r="B4" s="1"/>
      <c r="C4" s="8"/>
      <c r="D4" s="1"/>
      <c r="E4" s="1"/>
      <c r="F4" s="1"/>
      <c r="G4" s="15"/>
      <c r="H4" s="16"/>
      <c r="I4" s="16"/>
      <c r="J4" s="17" t="n">
        <f aca="false">IF(G6=180,0,MOD(J6,360))</f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H4" s="18"/>
    </row>
    <row r="5" customFormat="false" ht="17" hidden="false" customHeight="true" outlineLevel="0" collapsed="false">
      <c r="A5" s="19"/>
      <c r="B5" s="1"/>
      <c r="C5" s="1"/>
      <c r="D5" s="1"/>
      <c r="E5" s="1"/>
      <c r="F5" s="20"/>
      <c r="G5" s="21" t="s">
        <v>7</v>
      </c>
      <c r="H5" s="1"/>
      <c r="I5" s="22"/>
      <c r="J5" s="21" t="s">
        <v>8</v>
      </c>
      <c r="K5" s="1"/>
      <c r="L5" s="1"/>
      <c r="M5" s="1"/>
      <c r="N5" s="1"/>
      <c r="O5" s="1"/>
      <c r="P5" s="1"/>
      <c r="Q5" s="23"/>
      <c r="R5" s="24"/>
      <c r="S5" s="1"/>
      <c r="T5" s="1"/>
      <c r="U5" s="1"/>
      <c r="V5" s="1"/>
      <c r="W5" s="1"/>
      <c r="X5" s="1"/>
      <c r="Y5" s="25" t="s">
        <v>9</v>
      </c>
      <c r="Z5" s="1"/>
      <c r="AC5" s="0" t="s">
        <v>10</v>
      </c>
      <c r="AE5" s="0" t="s">
        <v>11</v>
      </c>
    </row>
    <row r="6" customFormat="false" ht="37.4" hidden="false" customHeight="true" outlineLevel="0" collapsed="false">
      <c r="A6" s="1"/>
      <c r="B6" s="1"/>
      <c r="C6" s="1"/>
      <c r="D6" s="1"/>
      <c r="E6" s="1"/>
      <c r="F6" s="22" t="s">
        <v>12</v>
      </c>
      <c r="G6" s="26"/>
      <c r="H6" s="1" t="s">
        <v>13</v>
      </c>
      <c r="I6" s="22" t="s">
        <v>14</v>
      </c>
      <c r="J6" s="26"/>
      <c r="K6" s="1" t="s">
        <v>13</v>
      </c>
      <c r="L6" s="1"/>
      <c r="M6" s="1"/>
      <c r="N6" s="1"/>
      <c r="O6" s="1"/>
      <c r="P6" s="27"/>
      <c r="Q6" s="27" t="s">
        <v>15</v>
      </c>
      <c r="R6" s="28" t="s">
        <v>16</v>
      </c>
      <c r="S6" s="29" t="n">
        <f aca="false">COS(G1)</f>
        <v>1</v>
      </c>
      <c r="T6" s="30" t="s">
        <v>17</v>
      </c>
      <c r="U6" s="29" t="n">
        <f aca="false">-SIN(G1)*SIN(J1)</f>
        <v>-0</v>
      </c>
      <c r="V6" s="30" t="s">
        <v>18</v>
      </c>
      <c r="W6" s="29" t="n">
        <f aca="false">SIN(G1)*COS(J1)</f>
        <v>0</v>
      </c>
      <c r="X6" s="1"/>
      <c r="Y6" s="31" t="n">
        <f aca="false">SQRT((S6)^2+(W6)^2+(U6)^2)</f>
        <v>1</v>
      </c>
      <c r="Z6" s="1"/>
    </row>
    <row r="7" customFormat="false" ht="17" hidden="false" customHeight="true" outlineLevel="0" collapsed="false">
      <c r="A7" s="1"/>
      <c r="B7" s="1"/>
      <c r="C7" s="1"/>
      <c r="D7" s="1"/>
      <c r="E7" s="1"/>
      <c r="F7" s="1"/>
      <c r="G7" s="32" t="s">
        <v>19</v>
      </c>
      <c r="H7" s="1"/>
      <c r="I7" s="1"/>
      <c r="J7" s="32" t="n">
        <f aca="false">(J4)/30</f>
        <v>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3" t="s">
        <v>20</v>
      </c>
      <c r="Z7" s="1"/>
      <c r="AC7" s="0" t="s">
        <v>21</v>
      </c>
      <c r="AE7" s="0" t="s">
        <v>22</v>
      </c>
    </row>
    <row r="8" customFormat="false" ht="37.4" hidden="false" customHeight="true" outlineLevel="0" collapsed="false">
      <c r="A8" s="19"/>
      <c r="B8" s="34"/>
      <c r="C8" s="1"/>
      <c r="D8" s="35"/>
      <c r="E8" s="1"/>
      <c r="F8" s="1"/>
      <c r="G8" s="1"/>
      <c r="H8" s="36" t="str">
        <f aca="false">IF(OR(G6&lt;0,G6&gt;180),"山　は　0 ど　～ 180　ど　に　してください","- -")</f>
        <v>- -</v>
      </c>
      <c r="I8" s="1"/>
      <c r="J8" s="1"/>
      <c r="K8" s="1"/>
      <c r="L8" s="1"/>
      <c r="M8" s="1"/>
      <c r="N8" s="1"/>
      <c r="O8" s="1"/>
      <c r="P8" s="1"/>
      <c r="Q8" s="1"/>
      <c r="R8" s="37" t="s">
        <v>23</v>
      </c>
      <c r="S8" s="38" t="n">
        <f aca="false">IF(OR(G6&lt;0,G6&gt;180),"- -",(G2)+(J2))</f>
        <v>0</v>
      </c>
      <c r="T8" s="39" t="s">
        <v>24</v>
      </c>
      <c r="U8" s="40" t="s">
        <v>25</v>
      </c>
      <c r="V8" s="1"/>
      <c r="W8" s="41"/>
      <c r="X8" s="1"/>
      <c r="Y8" s="1"/>
      <c r="Z8" s="1"/>
      <c r="AC8" s="0" t="s">
        <v>26</v>
      </c>
      <c r="AE8" s="0" t="s">
        <v>27</v>
      </c>
      <c r="AH8" s="18"/>
    </row>
    <row r="9" customFormat="false" ht="17" hidden="false" customHeight="true" outlineLevel="0" collapsed="false">
      <c r="A9" s="19"/>
      <c r="B9" s="1"/>
      <c r="C9" s="1"/>
      <c r="D9" s="35" t="s">
        <v>28</v>
      </c>
      <c r="E9" s="1"/>
      <c r="F9" s="42" t="s">
        <v>29</v>
      </c>
      <c r="G9" s="43" t="n">
        <f aca="false">IF(AND(ROUND(S6,8)=0, ROUND(U6,8)=0),  0  ,     ROUNDDOWN(DEGREES(ATAN2((S6),(U6))) ,7)  )</f>
        <v>-0</v>
      </c>
      <c r="H9" s="40" t="s">
        <v>30</v>
      </c>
      <c r="I9" s="42" t="s">
        <v>31</v>
      </c>
      <c r="J9" s="43" t="n">
        <f aca="false">ROUNDDOWN(DEGREES(ASIN(W6)),7)</f>
        <v>0</v>
      </c>
      <c r="K9" s="44" t="s">
        <v>30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C9" s="0" t="s">
        <v>32</v>
      </c>
      <c r="AE9" s="0" t="s">
        <v>33</v>
      </c>
    </row>
    <row r="10" customFormat="false" ht="17" hidden="false" customHeight="true" outlineLevel="0" collapsed="false">
      <c r="A10" s="1"/>
      <c r="B10" s="1"/>
      <c r="C10" s="14"/>
      <c r="D10" s="35" t="s">
        <v>34</v>
      </c>
      <c r="E10" s="1"/>
      <c r="F10" s="42" t="s">
        <v>29</v>
      </c>
      <c r="G10" s="45" t="n">
        <f aca="false">IF(AND(ROUND(S6,8)=0, ROUND(U6,8)=0),  0  ,     ROUNDDOWN(DEGREES(ATAN2((S6),(U6))),7)   )</f>
        <v>-0</v>
      </c>
      <c r="H10" s="40" t="s">
        <v>30</v>
      </c>
      <c r="I10" s="42" t="s">
        <v>35</v>
      </c>
      <c r="J10" s="45" t="n">
        <f aca="false">ROUNDDOWN(DEGREES(ACOS(W6)),7)</f>
        <v>90</v>
      </c>
      <c r="K10" s="44" t="s">
        <v>30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E10" s="0" t="s">
        <v>36</v>
      </c>
    </row>
    <row r="11" customFormat="false" ht="17" hidden="false" customHeight="true" outlineLevel="0" collapsed="false">
      <c r="A11" s="1"/>
      <c r="B11" s="1"/>
      <c r="C11" s="14"/>
      <c r="D11" s="35" t="s">
        <v>37</v>
      </c>
      <c r="E11" s="1"/>
      <c r="F11" s="42" t="s">
        <v>29</v>
      </c>
      <c r="G11" s="46" t="n">
        <f aca="false">IF(AND(ROUND(S6,8)=0, ROUND(U6,8)=0),  0  ,     ROUNDDOWN(DEGREES(ATAN2((S6),(U6))),7)   )</f>
        <v>-0</v>
      </c>
      <c r="H11" s="40" t="s">
        <v>30</v>
      </c>
      <c r="I11" s="42" t="s">
        <v>38</v>
      </c>
      <c r="J11" s="46" t="n">
        <f aca="false">IF((W6&lt;0),(ROUND( SQRT((S6)^2+(U6)^2)*100 ,2)+0.000000000373),ROUND(SQRT((S6)^2+(U6)^2)*100,2))</f>
        <v>100</v>
      </c>
      <c r="K11" s="44" t="s">
        <v>39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customFormat="false" ht="17" hidden="false" customHeight="true" outlineLevel="0" collapsed="false">
      <c r="A12" s="1"/>
      <c r="B12" s="1"/>
      <c r="C12" s="1"/>
      <c r="D12" s="35" t="s">
        <v>40</v>
      </c>
      <c r="E12" s="1"/>
      <c r="F12" s="42" t="s">
        <v>29</v>
      </c>
      <c r="G12" s="47" t="n">
        <f aca="false">IF(AND(ROUND(S6,8)=0, ROUND(U6,8)=0),  0  ,     ROUNDDOWN(DEGREES(ATAN2((S6),(U6))),7)   )</f>
        <v>-0</v>
      </c>
      <c r="H12" s="40" t="s">
        <v>30</v>
      </c>
      <c r="I12" s="42" t="s">
        <v>41</v>
      </c>
      <c r="J12" s="47" t="n">
        <f aca="false">IF(AND(ROUND(S6,8)=0, ROUND(U6,8)=0),  TEXT(SIGN(W6)*10000,"0") ,     TAN(ASIN(W6))*100  )</f>
        <v>0</v>
      </c>
      <c r="K12" s="44" t="s">
        <v>42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customFormat="false" ht="17" hidden="false" customHeight="true" outlineLevel="0" collapsed="false">
      <c r="A13" s="1"/>
      <c r="B13" s="1"/>
      <c r="C13" s="1"/>
      <c r="D13" s="35" t="s">
        <v>43</v>
      </c>
      <c r="E13" s="1"/>
      <c r="F13" s="42" t="s">
        <v>29</v>
      </c>
      <c r="G13" s="48" t="n">
        <f aca="false">IF( (ROUND(U6,8)=0) ,0,   ROUNDDOWN(DEGREES(ATAN2((S6),(U6))),7)   )</f>
        <v>0</v>
      </c>
      <c r="H13" s="40" t="s">
        <v>30</v>
      </c>
      <c r="I13" s="42" t="s">
        <v>44</v>
      </c>
      <c r="J13" s="48" t="n">
        <f aca="false">IF( (ROUND(U6,8)=0) ,  ROUNDDOWN(DEGREES(ATAN2((S6),(W6))),7) ,  ROUNDDOWN(DEGREES(ATAN2((U6),(W6))),7) )</f>
        <v>0</v>
      </c>
      <c r="K13" s="44" t="s">
        <v>30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8"/>
      <c r="W13" s="1"/>
      <c r="X13" s="1"/>
      <c r="Y13" s="1"/>
      <c r="Z13" s="1"/>
      <c r="AC13" s="0" t="s">
        <v>45</v>
      </c>
      <c r="AE13" s="0" t="s">
        <v>46</v>
      </c>
    </row>
    <row r="14" customFormat="false" ht="17" hidden="false" customHeight="true" outlineLevel="0" collapsed="false">
      <c r="A14" s="1"/>
      <c r="B14" s="1"/>
      <c r="C14" s="49"/>
      <c r="D14" s="35" t="s">
        <v>47</v>
      </c>
      <c r="E14" s="1"/>
      <c r="F14" s="42" t="s">
        <v>29</v>
      </c>
      <c r="G14" s="50" t="n">
        <f aca="false">IF(AND(ROUND(S6,8)=0, ROUND(U6,8)=0),  0  ,  IF( (ROUND(S6,8)=0) , 90 ,  ROUNDDOWN(DEGREES(ATAN2((S6),(U6))),7)  ))</f>
        <v>-0</v>
      </c>
      <c r="H14" s="40" t="s">
        <v>30</v>
      </c>
      <c r="I14" s="42" t="s">
        <v>48</v>
      </c>
      <c r="J14" s="50" t="n">
        <f aca="false">IF( (ROUND(S6,8)=0) , ROUNDDOWN(DEGREES(ATAN2((U6),(W6))),7) ,  ROUNDDOWN(DEGREES(ATAN2((S6),(W6))),7)  )</f>
        <v>0</v>
      </c>
      <c r="K14" s="44" t="s">
        <v>30</v>
      </c>
      <c r="L14" s="1"/>
      <c r="M14" s="1"/>
      <c r="N14" s="1"/>
      <c r="O14" s="1"/>
      <c r="P14" s="1"/>
      <c r="Q14" s="23"/>
      <c r="R14" s="19"/>
      <c r="S14" s="51" t="s">
        <v>49</v>
      </c>
      <c r="T14" s="1"/>
      <c r="U14" s="1"/>
      <c r="V14" s="1"/>
      <c r="W14" s="1"/>
      <c r="X14" s="1"/>
      <c r="Y14" s="1"/>
      <c r="Z14" s="1"/>
      <c r="AC14" s="0" t="s">
        <v>50</v>
      </c>
      <c r="AE14" s="0" t="s">
        <v>51</v>
      </c>
    </row>
    <row r="15" customFormat="false" ht="17" hidden="false" customHeight="true" outlineLevel="0" collapsed="false">
      <c r="A15" s="19"/>
      <c r="B15" s="1"/>
      <c r="C15" s="1"/>
      <c r="D15" s="35" t="s">
        <v>52</v>
      </c>
      <c r="E15" s="1"/>
      <c r="F15" s="42" t="s">
        <v>48</v>
      </c>
      <c r="G15" s="52" t="n">
        <f aca="false">IF(   ABS(ROUND(U6,8))=1  ,     "ジンバルロック"     ,    ( IF( (W6=0) ,  0  ,   ROUNDDOWN(DEGREES(ATAN2((S6),(W6))),7)   )))</f>
        <v>0</v>
      </c>
      <c r="H15" s="40" t="s">
        <v>30</v>
      </c>
      <c r="I15" s="42" t="s">
        <v>44</v>
      </c>
      <c r="J15" s="52" t="n">
        <f aca="false">IF(  ROUND(W6,8)=0  ,   ROUNDDOWN((MOD((-DEGREES(ATAN2((S6),(U6)))+90)-180,-360)+180),7)     ,  ROUNDDOWN(DEGREES(ATAN2((U6),(W6))),7)  )</f>
        <v>90</v>
      </c>
      <c r="K15" s="44" t="s">
        <v>30</v>
      </c>
      <c r="L15" s="1"/>
      <c r="M15" s="1"/>
      <c r="N15" s="1"/>
      <c r="O15" s="1"/>
      <c r="P15" s="1"/>
      <c r="Q15" s="1"/>
      <c r="R15" s="23"/>
      <c r="S15" s="51" t="s">
        <v>53</v>
      </c>
      <c r="T15" s="1"/>
      <c r="U15" s="1"/>
      <c r="V15" s="1"/>
      <c r="W15" s="1"/>
      <c r="X15" s="1"/>
      <c r="Y15" s="1"/>
      <c r="Z15" s="1"/>
      <c r="AE15" s="0" t="s">
        <v>54</v>
      </c>
    </row>
    <row r="16" customFormat="false" ht="17" hidden="false" customHeight="true" outlineLevel="0" collapsed="false">
      <c r="A16" s="53" t="s">
        <v>55</v>
      </c>
      <c r="B16" s="54" t="n">
        <f aca="false">IF(ROUND(S6,8)=0,0,100*SIGN(S6))</f>
        <v>100</v>
      </c>
      <c r="C16" s="1"/>
      <c r="D16" s="35" t="s">
        <v>56</v>
      </c>
      <c r="E16" s="1"/>
      <c r="F16" s="42" t="s">
        <v>57</v>
      </c>
      <c r="G16" s="55" t="n">
        <f aca="false">IF( ROUND(U6,8)=0, 0 ,  IF( ROUND(S6,8)=0,100*SIGN(U6)  ,    ABS((U6)/(S6)*100)*SIGN(U6)   ))</f>
        <v>0</v>
      </c>
      <c r="H16" s="44" t="s">
        <v>42</v>
      </c>
      <c r="I16" s="42" t="s">
        <v>58</v>
      </c>
      <c r="J16" s="55" t="n">
        <f aca="false">IF( ROUND(W6,8)=0, 0 ,  IF( ROUND(S6,8)=0,100*SIGN(W6) ,    ABS((W6)/(S6)*100)*SIGN(W6)   ))</f>
        <v>0</v>
      </c>
      <c r="K16" s="44" t="s">
        <v>42</v>
      </c>
      <c r="L16" s="1"/>
      <c r="M16" s="1"/>
      <c r="N16" s="1"/>
      <c r="O16" s="1"/>
      <c r="P16" s="1"/>
      <c r="Q16" s="1"/>
      <c r="R16" s="1"/>
      <c r="S16" s="1" t="s">
        <v>59</v>
      </c>
      <c r="T16" s="1"/>
      <c r="U16" s="1"/>
      <c r="V16" s="1"/>
      <c r="W16" s="1"/>
      <c r="X16" s="1"/>
      <c r="Y16" s="1"/>
      <c r="Z16" s="1"/>
      <c r="AE16" s="0" t="s">
        <v>60</v>
      </c>
    </row>
    <row r="17" customFormat="false" ht="17" hidden="false" customHeight="true" outlineLevel="0" collapsed="false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40" t="s">
        <v>61</v>
      </c>
      <c r="T17" s="1"/>
      <c r="U17" s="1"/>
      <c r="V17" s="1"/>
      <c r="W17" s="1"/>
      <c r="X17" s="1"/>
      <c r="Y17" s="1"/>
      <c r="Z17" s="1"/>
      <c r="AE17" s="0" t="s">
        <v>62</v>
      </c>
    </row>
    <row r="18" customFormat="false" ht="17" hidden="false" customHeight="true" outlineLevel="0" collapsed="false">
      <c r="A18" s="1"/>
      <c r="B18" s="1"/>
      <c r="C18" s="1"/>
      <c r="D18" s="8"/>
      <c r="E18" s="1"/>
      <c r="F18" s="1"/>
      <c r="G18" s="1" t="str">
        <f aca="false">IF(U6&lt;-0.000001, "θ  を  プラス  に するには　ヨ  を  マイナス  にするか  180 ど  いじょう  に　します", "--" )</f>
        <v>--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E18" s="0" t="s">
        <v>63</v>
      </c>
    </row>
    <row r="19" customFormat="false" ht="17" hidden="false" customHeight="true" outlineLevel="0" collapsed="false">
      <c r="A19" s="1"/>
      <c r="B19" s="1"/>
      <c r="C19" s="1"/>
      <c r="D19" s="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17" hidden="false" customHeight="true" outlineLevel="0" collapsed="false">
      <c r="A20" s="1"/>
      <c r="B20" s="1"/>
      <c r="C20" s="1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17" hidden="false" customHeight="true" outlineLevel="0" collapsed="false">
      <c r="A21" s="1"/>
      <c r="B21" s="1"/>
      <c r="C21" s="1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7" hidden="false" customHeight="true" outlineLevel="0" collapsed="false">
      <c r="A22" s="1"/>
      <c r="B22" s="1"/>
      <c r="C22" s="1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7" hidden="false" customHeight="true" outlineLevel="0" collapsed="false">
      <c r="A23" s="1"/>
      <c r="B23" s="1"/>
      <c r="C23" s="1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17" hidden="false" customHeight="true" outlineLevel="0" collapsed="false">
      <c r="A24" s="1"/>
      <c r="B24" s="1"/>
      <c r="C24" s="1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customFormat="false" ht="17" hidden="false" customHeight="tru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customFormat="false" ht="17" hidden="false" customHeight="tru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7"/>
      <c r="R26" s="1"/>
      <c r="S26" s="1"/>
      <c r="T26" s="1"/>
      <c r="U26" s="1"/>
      <c r="V26" s="1"/>
      <c r="W26" s="1"/>
      <c r="X26" s="1"/>
      <c r="Y26" s="1"/>
      <c r="Z26" s="1"/>
    </row>
    <row r="27" customFormat="false" ht="17" hidden="false" customHeight="true" outlineLevel="0" collapsed="false">
      <c r="A27" s="1"/>
      <c r="B27" s="1"/>
      <c r="C27" s="1"/>
      <c r="D27" s="1"/>
      <c r="E27" s="1"/>
      <c r="F27" s="2"/>
      <c r="G27" s="1"/>
      <c r="H27" s="56" t="n">
        <f aca="false">IF(ABS(MOD(H32,200*SIGN(IF(H32=0,1,H32))))&lt;=100  ,  ABS(MOD(H32,200*SIGN(IF(H32=0,1,H32))))  ,  200-ABS(MOD(H32,200*SIGN(IF(H32=0,1,H32))))    )</f>
        <v>0</v>
      </c>
      <c r="I27" s="57"/>
      <c r="J27" s="57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customFormat="false" ht="17" hidden="false" customHeight="true" outlineLevel="0" collapsed="false">
      <c r="A28" s="1"/>
      <c r="B28" s="1"/>
      <c r="C28" s="1"/>
      <c r="D28" s="1"/>
      <c r="E28" s="1"/>
      <c r="F28" s="58"/>
      <c r="G28" s="14"/>
      <c r="H28" s="59"/>
      <c r="I28" s="59"/>
      <c r="J28" s="59"/>
      <c r="K28" s="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customFormat="false" ht="25.25" hidden="false" customHeight="true" outlineLevel="0" collapsed="false">
      <c r="A29" s="1"/>
      <c r="B29" s="8"/>
      <c r="C29" s="9"/>
      <c r="D29" s="1"/>
      <c r="E29" s="1"/>
      <c r="F29" s="10"/>
      <c r="G29" s="11"/>
      <c r="H29" s="12" t="s">
        <v>64</v>
      </c>
      <c r="I29" s="13"/>
      <c r="J29" s="13"/>
      <c r="K29" s="13"/>
      <c r="L29" s="1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customFormat="false" ht="17" hidden="false" customHeight="true" outlineLevel="0" collapsed="false">
      <c r="A30" s="14"/>
      <c r="B30" s="1"/>
      <c r="C30" s="8"/>
      <c r="D30" s="1"/>
      <c r="E30" s="1"/>
      <c r="F30" s="1"/>
      <c r="G30" s="15"/>
      <c r="H30" s="16"/>
      <c r="I30" s="16"/>
      <c r="J30" s="17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7"/>
      <c r="Y30" s="1"/>
      <c r="Z30" s="1"/>
    </row>
    <row r="31" customFormat="false" ht="17" hidden="false" customHeight="true" outlineLevel="0" collapsed="false">
      <c r="A31" s="19"/>
      <c r="B31" s="1"/>
      <c r="C31" s="1"/>
      <c r="D31" s="1"/>
      <c r="E31" s="1"/>
      <c r="F31" s="20"/>
      <c r="G31" s="21"/>
      <c r="H31" s="1"/>
      <c r="I31" s="22"/>
      <c r="J31" s="21"/>
      <c r="K31" s="1"/>
      <c r="L31" s="1"/>
      <c r="M31" s="1"/>
      <c r="N31" s="1"/>
      <c r="O31" s="1"/>
      <c r="P31" s="1"/>
      <c r="Q31" s="23"/>
      <c r="R31" s="24"/>
      <c r="S31" s="1"/>
      <c r="T31" s="1"/>
      <c r="U31" s="1"/>
      <c r="V31" s="1"/>
      <c r="W31" s="1"/>
      <c r="X31" s="1"/>
      <c r="Y31" s="60" t="s">
        <v>65</v>
      </c>
      <c r="Z31" s="1"/>
    </row>
    <row r="32" customFormat="false" ht="37.4" hidden="false" customHeight="true" outlineLevel="0" collapsed="false">
      <c r="A32" s="1"/>
      <c r="B32" s="1"/>
      <c r="C32" s="1"/>
      <c r="D32" s="1"/>
      <c r="E32" s="1"/>
      <c r="F32" s="22"/>
      <c r="G32" s="1"/>
      <c r="H32" s="26"/>
      <c r="I32" s="61" t="s">
        <v>66</v>
      </c>
      <c r="J32" s="1"/>
      <c r="K32" s="1"/>
      <c r="L32" s="1"/>
      <c r="M32" s="1"/>
      <c r="N32" s="1"/>
      <c r="O32" s="1"/>
      <c r="P32" s="35" t="s">
        <v>67</v>
      </c>
      <c r="Q32" s="1"/>
      <c r="R32" s="62" t="s">
        <v>16</v>
      </c>
      <c r="S32" s="29" t="n">
        <f aca="false">COS(S37)</f>
        <v>1</v>
      </c>
      <c r="T32" s="63" t="s">
        <v>17</v>
      </c>
      <c r="U32" s="29" t="n">
        <f aca="false">-SIN(S37)*SIN(V37)</f>
        <v>-0</v>
      </c>
      <c r="V32" s="63" t="s">
        <v>18</v>
      </c>
      <c r="W32" s="29" t="n">
        <f aca="false">SIN(S37)*COS(V37)</f>
        <v>0</v>
      </c>
      <c r="X32" s="1"/>
      <c r="Y32" s="64" t="n">
        <f aca="false">SQRT((S32)^2+(U32)^2+(W32)^2)</f>
        <v>1</v>
      </c>
      <c r="Z32" s="1"/>
    </row>
    <row r="33" customFormat="false" ht="17" hidden="false" customHeight="true" outlineLevel="0" collapsed="false">
      <c r="A33" s="1"/>
      <c r="B33" s="1"/>
      <c r="C33" s="1"/>
      <c r="D33" s="1"/>
      <c r="E33" s="1"/>
      <c r="F33" s="1"/>
      <c r="G33" s="1"/>
      <c r="H33" s="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customFormat="false" ht="17" hidden="false" customHeight="true" outlineLevel="0" collapsed="false">
      <c r="A34" s="19"/>
      <c r="B34" s="34"/>
      <c r="C34" s="1"/>
      <c r="D34" s="3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65"/>
      <c r="T34" s="1"/>
      <c r="U34" s="1"/>
      <c r="V34" s="1"/>
      <c r="W34" s="1"/>
      <c r="X34" s="1"/>
      <c r="Y34" s="1"/>
      <c r="Z34" s="1"/>
    </row>
    <row r="35" customFormat="false" ht="17" hidden="false" customHeight="true" outlineLevel="0" collapsed="false">
      <c r="A35" s="19"/>
      <c r="B35" s="1"/>
      <c r="C35" s="1"/>
      <c r="D35" s="35" t="s">
        <v>28</v>
      </c>
      <c r="E35" s="1"/>
      <c r="F35" s="42" t="s">
        <v>29</v>
      </c>
      <c r="G35" s="43" t="n">
        <f aca="false">IF(AND(ROUND(S32,8)=0, ROUND(U32,8)=0),  0 ,IF(AND(ROUND(S32,6)=-1, ROUND(U32,6)=0), 180 ,  ROUNDDOWN(DEGREES(ATAN2((S32),(U32))),7) ))</f>
        <v>-0</v>
      </c>
      <c r="H35" s="40" t="s">
        <v>30</v>
      </c>
      <c r="I35" s="42" t="s">
        <v>31</v>
      </c>
      <c r="J35" s="43" t="n">
        <f aca="false">ROUNDDOWN(DEGREES(ASIN(W32)),7)</f>
        <v>0</v>
      </c>
      <c r="K35" s="44" t="s">
        <v>30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17" hidden="false" customHeight="true" outlineLevel="0" collapsed="false">
      <c r="A36" s="1"/>
      <c r="B36" s="1"/>
      <c r="C36" s="14"/>
      <c r="D36" s="35" t="s">
        <v>34</v>
      </c>
      <c r="E36" s="1"/>
      <c r="F36" s="42" t="s">
        <v>29</v>
      </c>
      <c r="G36" s="45" t="n">
        <f aca="false">IF(AND(ROUND(S32,8)=0, ROUND(U32,8)=0),  0 ,IF(AND(ROUND(S32,6)=-1, ROUND(U32,6)=0), 180 ,  ROUNDDOWN(DEGREES(ATAN2((S32),(U32))),7) ))</f>
        <v>-0</v>
      </c>
      <c r="H36" s="40" t="s">
        <v>30</v>
      </c>
      <c r="I36" s="42" t="s">
        <v>35</v>
      </c>
      <c r="J36" s="45" t="n">
        <f aca="false">ROUNDDOWN(DEGREES(ACOS(W32)),7)</f>
        <v>90</v>
      </c>
      <c r="K36" s="44" t="s">
        <v>30</v>
      </c>
      <c r="L36" s="1"/>
      <c r="M36" s="1"/>
      <c r="N36" s="1"/>
      <c r="O36" s="1"/>
      <c r="P36" s="1"/>
      <c r="Q36" s="1"/>
      <c r="R36" s="66" t="s">
        <v>68</v>
      </c>
      <c r="S36" s="67" t="str">
        <f aca="false">TEXT(  RIGHT(INT(H27/10)),0 ) &amp; "." &amp; TEXT(  RIGHT(INT(H27*10^1)),0 ) &amp; TEXT(  RIGHT(INT(H27*10^3)),0 ) &amp; TEXT(  RIGHT(INT(H27*10^5)),0 ) &amp; TEXT(  RIGHT(INT(H27*10^7)),0 ) &amp; TEXT(  RIGHT(INT(H27*10^9)),0 ) &amp; TEXT(  RIGHT(INT(H27*10^11)),0 ) &amp; TEXT(  RIGHT(INT(H27*10^13)),0 )</f>
        <v>0.0000000</v>
      </c>
      <c r="T36" s="68" t="s">
        <v>69</v>
      </c>
      <c r="U36" s="69" t="s">
        <v>14</v>
      </c>
      <c r="V36" s="67" t="str">
        <f aca="false">TEXT(  RIGHT(INT(H27*10^0)),0 ) &amp; "." &amp; TEXT(  RIGHT(INT(H27*10^2)),0 ) &amp;  TEXT(  RIGHT(INT(H27*10^4)),0 ) &amp; TEXT(  RIGHT(INT(H27*10^6)),0 ) &amp; TEXT(  RIGHT(INT(H27*10^8)),0 ) &amp; TEXT(  RIGHT(INT(H27*10^10)),0 ) &amp; TEXT(  RIGHT(INT(H27*10^12)),0 ) &amp; TEXT(  RIGHT(INT(H27*10^14)),0  )</f>
        <v>0.0000000</v>
      </c>
      <c r="W36" s="70" t="s">
        <v>70</v>
      </c>
      <c r="X36" s="1"/>
      <c r="Y36" s="1"/>
      <c r="Z36" s="1"/>
    </row>
    <row r="37" customFormat="false" ht="17" hidden="false" customHeight="true" outlineLevel="0" collapsed="false">
      <c r="A37" s="1"/>
      <c r="B37" s="1"/>
      <c r="C37" s="14"/>
      <c r="D37" s="35" t="s">
        <v>37</v>
      </c>
      <c r="E37" s="1"/>
      <c r="F37" s="42" t="s">
        <v>29</v>
      </c>
      <c r="G37" s="46" t="n">
        <f aca="false">IF(AND(ROUND(S32,8)=0, ROUND(U32,8)=0),  0 ,IF(AND(ROUND(S32,6)=-1, ROUND(U32,6)=0), 180 ,  ROUNDDOWN(DEGREES(ATAN2((S32),(U32))),7) ))</f>
        <v>-0</v>
      </c>
      <c r="H37" s="40" t="s">
        <v>30</v>
      </c>
      <c r="I37" s="42" t="s">
        <v>38</v>
      </c>
      <c r="J37" s="46" t="n">
        <f aca="false">IF((W32&lt;0),(ROUND( SQRT((S32)^2+(U32)^2)*100 ,2)+0.000000000373),ROUND(SQRT((S32)^2+(U32)^2)*100,2))</f>
        <v>100</v>
      </c>
      <c r="K37" s="44" t="s">
        <v>39</v>
      </c>
      <c r="L37" s="1"/>
      <c r="M37" s="1"/>
      <c r="N37" s="1"/>
      <c r="O37" s="1"/>
      <c r="P37" s="1"/>
      <c r="Q37" s="1"/>
      <c r="R37" s="71" t="s">
        <v>68</v>
      </c>
      <c r="S37" s="72" t="n">
        <f aca="false">RADIANS(S38)</f>
        <v>0</v>
      </c>
      <c r="T37" s="73" t="s">
        <v>71</v>
      </c>
      <c r="U37" s="74" t="s">
        <v>14</v>
      </c>
      <c r="V37" s="72" t="n">
        <f aca="false">RADIANS(V38)</f>
        <v>0</v>
      </c>
      <c r="W37" s="75" t="s">
        <v>71</v>
      </c>
      <c r="X37" s="1"/>
      <c r="Y37" s="1"/>
      <c r="Z37" s="1"/>
    </row>
    <row r="38" customFormat="false" ht="17" hidden="false" customHeight="true" outlineLevel="0" collapsed="false">
      <c r="A38" s="1"/>
      <c r="B38" s="1"/>
      <c r="C38" s="1"/>
      <c r="D38" s="35" t="s">
        <v>40</v>
      </c>
      <c r="E38" s="1"/>
      <c r="F38" s="42" t="s">
        <v>29</v>
      </c>
      <c r="G38" s="47" t="n">
        <f aca="false">IF(AND(ROUND(S32,8)=0, ROUND(U32,8)=0),  0 ,IF(AND(ROUND(S32,6)=-1, ROUND(U32,6)=0), 180 ,  ROUNDDOWN(DEGREES(ATAN2((S32),(U32))),7) ))</f>
        <v>-0</v>
      </c>
      <c r="H38" s="40" t="s">
        <v>30</v>
      </c>
      <c r="I38" s="42" t="s">
        <v>41</v>
      </c>
      <c r="J38" s="47" t="n">
        <f aca="false">IF(AND(ROUND(S32,8)=0, ROUND(U32,8)=0),  TEXT(SIGN(W32)*10000,"0") ,     TAN(ASIN(W32))*100  )</f>
        <v>0</v>
      </c>
      <c r="K38" s="44" t="s">
        <v>42</v>
      </c>
      <c r="L38" s="1"/>
      <c r="M38" s="1"/>
      <c r="N38" s="1"/>
      <c r="O38" s="1"/>
      <c r="P38" s="1"/>
      <c r="Q38" s="1"/>
      <c r="R38" s="76" t="s">
        <v>68</v>
      </c>
      <c r="S38" s="77" t="n">
        <f aca="false">IF( H27=100 , 180 , (S36)*18  )</f>
        <v>0</v>
      </c>
      <c r="T38" s="78" t="s">
        <v>13</v>
      </c>
      <c r="U38" s="79" t="s">
        <v>14</v>
      </c>
      <c r="V38" s="77" t="n">
        <f aca="false">(V36)*36</f>
        <v>0</v>
      </c>
      <c r="W38" s="80" t="s">
        <v>13</v>
      </c>
      <c r="X38" s="1"/>
      <c r="Y38" s="1"/>
      <c r="Z38" s="1"/>
    </row>
    <row r="39" customFormat="false" ht="17" hidden="false" customHeight="true" outlineLevel="0" collapsed="false">
      <c r="A39" s="1"/>
      <c r="B39" s="1"/>
      <c r="C39" s="1"/>
      <c r="D39" s="35" t="s">
        <v>43</v>
      </c>
      <c r="E39" s="1"/>
      <c r="F39" s="42" t="s">
        <v>29</v>
      </c>
      <c r="G39" s="48" t="n">
        <f aca="false">IF( (ROUND(U32,8)=0) ,0,   ROUNDDOWN(DEGREES(ATAN2((S32),(U32))),7)   )</f>
        <v>0</v>
      </c>
      <c r="H39" s="40" t="s">
        <v>30</v>
      </c>
      <c r="I39" s="42" t="s">
        <v>44</v>
      </c>
      <c r="J39" s="48" t="n">
        <f aca="false">IF( (ROUND(U32,8)=0) ,  ROUNDDOWN(DEGREES(ATAN2((S32),(W32))),7) ,  ROUNDDOWN(DEGREES(ATAN2((U32),(W32))),7) )</f>
        <v>0</v>
      </c>
      <c r="K39" s="44" t="s">
        <v>30</v>
      </c>
      <c r="L39" s="1"/>
      <c r="M39" s="1"/>
      <c r="N39" s="1"/>
      <c r="O39" s="1"/>
      <c r="P39" s="1"/>
      <c r="Q39" s="1"/>
      <c r="R39" s="1"/>
      <c r="S39" s="1"/>
      <c r="T39" s="81"/>
      <c r="U39" s="1"/>
      <c r="V39" s="81"/>
      <c r="W39" s="1"/>
      <c r="X39" s="1"/>
      <c r="Y39" s="1"/>
      <c r="Z39" s="1"/>
    </row>
    <row r="40" customFormat="false" ht="17" hidden="false" customHeight="true" outlineLevel="0" collapsed="false">
      <c r="A40" s="1"/>
      <c r="B40" s="1"/>
      <c r="C40" s="49"/>
      <c r="D40" s="35" t="s">
        <v>47</v>
      </c>
      <c r="E40" s="1"/>
      <c r="F40" s="42" t="s">
        <v>29</v>
      </c>
      <c r="G40" s="50" t="n">
        <f aca="false">IF(AND(ROUND(S32,8)=0, ROUND(U32,8)=0),  0  ,IF(AND(ROUND(S32,6)=-1, ROUND(U32,6)=0), 180 ,  IF( (ROUND(S32,8)=0) , 90 ,  ROUNDDOWN(DEGREES(ATAN2((S32),(U32))),7)  )))</f>
        <v>-0</v>
      </c>
      <c r="H40" s="40" t="s">
        <v>30</v>
      </c>
      <c r="I40" s="42" t="s">
        <v>48</v>
      </c>
      <c r="J40" s="50" t="n">
        <f aca="false">IF( (ROUND(S32,8)=0) , ROUNDDOWN(DEGREES(ATAN2((U32),(W32))),7) ,  ROUNDDOWN(DEGREES(ATAN2((S32),(W32))),7)  )</f>
        <v>0</v>
      </c>
      <c r="K40" s="44" t="s">
        <v>30</v>
      </c>
      <c r="L40" s="1"/>
      <c r="M40" s="1"/>
      <c r="N40" s="1"/>
      <c r="O40" s="1"/>
      <c r="P40" s="35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17" hidden="false" customHeight="true" outlineLevel="0" collapsed="false">
      <c r="A41" s="19"/>
      <c r="B41" s="1"/>
      <c r="C41" s="1"/>
      <c r="D41" s="35" t="s">
        <v>52</v>
      </c>
      <c r="E41" s="1"/>
      <c r="F41" s="42" t="s">
        <v>48</v>
      </c>
      <c r="G41" s="52" t="n">
        <f aca="false">IF(   ABS(ROUND(U32,8))=1  ,     "ジンバルロック"     ,    ( IF( (W32=0) ,  0  ,   ROUNDDOWN(DEGREES(ATAN2((S32),(W32))),7)   )))</f>
        <v>0</v>
      </c>
      <c r="H41" s="40" t="s">
        <v>30</v>
      </c>
      <c r="I41" s="42" t="s">
        <v>44</v>
      </c>
      <c r="J41" s="52" t="n">
        <f aca="false">IF(  ROUND(W32,8)=0  ,   ROUNDDOWN((MOD((-DEGREES(ATAN2((S32),(U32)))+90)-180,-360)+180),7)     ,  ROUNDDOWN(DEGREES(ATAN2((U32),(W32))),7)  )</f>
        <v>90</v>
      </c>
      <c r="K41" s="44" t="s">
        <v>30</v>
      </c>
      <c r="L41" s="1"/>
      <c r="M41" s="1"/>
      <c r="N41" s="1"/>
      <c r="O41" s="1"/>
      <c r="P41" s="1"/>
      <c r="Q41" s="1"/>
      <c r="R41" s="81"/>
      <c r="S41" s="82"/>
      <c r="T41" s="81"/>
      <c r="U41" s="82"/>
      <c r="V41" s="81"/>
      <c r="W41" s="82"/>
      <c r="X41" s="1"/>
      <c r="Y41" s="30"/>
      <c r="Z41" s="1"/>
    </row>
    <row r="42" customFormat="false" ht="17" hidden="false" customHeight="true" outlineLevel="0" collapsed="false">
      <c r="A42" s="53" t="s">
        <v>55</v>
      </c>
      <c r="B42" s="54" t="n">
        <f aca="false">IF(ROUND(S32,8)=0,0,100*SIGN(S32))</f>
        <v>100</v>
      </c>
      <c r="C42" s="1"/>
      <c r="D42" s="35" t="s">
        <v>56</v>
      </c>
      <c r="E42" s="1"/>
      <c r="F42" s="42" t="s">
        <v>57</v>
      </c>
      <c r="G42" s="83" t="n">
        <f aca="false">IF( ROUND(U32,8)=0, 0 ,  IF( ROUND(S32,8)=0,100*SIGN(U32)  ,    ABS((U32)/(S32)*100)*SIGN(U32)   ))</f>
        <v>0</v>
      </c>
      <c r="H42" s="44" t="s">
        <v>42</v>
      </c>
      <c r="I42" s="42" t="s">
        <v>58</v>
      </c>
      <c r="J42" s="55" t="n">
        <f aca="false">IF( ROUND(W32,8)=0, 0 ,  IF( ROUND(S32,8)=0,100*SIGN(W32) ,    ABS((W32)/(S32)*100)*SIGN(W32)   ))</f>
        <v>0</v>
      </c>
      <c r="K42" s="44" t="s">
        <v>42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customFormat="false" ht="17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40"/>
      <c r="T43" s="1"/>
      <c r="U43" s="1"/>
      <c r="V43" s="1"/>
      <c r="W43" s="1"/>
      <c r="X43" s="1"/>
      <c r="Y43" s="1"/>
      <c r="Z43" s="1"/>
    </row>
    <row r="44" customFormat="false" ht="17" hidden="false" customHeight="true" outlineLevel="0" collapsed="false">
      <c r="A44" s="1"/>
      <c r="B44" s="1"/>
      <c r="C44" s="1"/>
      <c r="D44" s="8"/>
      <c r="E44" s="1"/>
      <c r="F44" s="1"/>
      <c r="G44" s="1" t="str">
        <f aca="false">IF(U32&lt;-0.000001, "θ  を  プラス  に するには　cho°　値　１ の くらい ( ケタ )　を  5 ～ 9  に　します", "--" )</f>
        <v>--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customFormat="false" ht="17" hidden="false" customHeight="true" outlineLevel="0" collapsed="false">
      <c r="A45" s="1"/>
      <c r="B45" s="1"/>
      <c r="C45" s="1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customFormat="false" ht="17" hidden="false" customHeight="true" outlineLevel="0" collapsed="false">
      <c r="A46" s="1"/>
      <c r="B46" s="1"/>
      <c r="C46" s="1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customFormat="false" ht="17" hidden="false" customHeight="true" outlineLevel="0" collapsed="false">
      <c r="A47" s="1"/>
      <c r="B47" s="1"/>
      <c r="C47" s="1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customFormat="false" ht="17" hidden="false" customHeight="true" outlineLevel="0" collapsed="false">
      <c r="A48" s="1"/>
      <c r="B48" s="1"/>
      <c r="C48" s="1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customFormat="false" ht="17" hidden="false" customHeight="true" outlineLevel="0" collapsed="false">
      <c r="A49" s="1"/>
      <c r="B49" s="1"/>
      <c r="C49" s="1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customFormat="false" ht="17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customFormat="false" ht="17" hidden="false" customHeight="tru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customFormat="false" ht="17" hidden="false" customHeight="tru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customFormat="false" ht="17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customFormat="false" ht="17" hidden="false" customHeight="tru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customFormat="false" ht="17" hidden="false" customHeight="tru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7"/>
      <c r="R55" s="1"/>
      <c r="S55" s="1"/>
      <c r="T55" s="1"/>
      <c r="U55" s="1"/>
      <c r="V55" s="1"/>
      <c r="W55" s="1"/>
      <c r="X55" s="1"/>
      <c r="Y55" s="1"/>
      <c r="Z55" s="1"/>
    </row>
    <row r="56" customFormat="false" ht="17" hidden="false" customHeight="tru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customFormat="false" ht="17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7"/>
      <c r="R57" s="1"/>
      <c r="S57" s="1"/>
      <c r="T57" s="1"/>
      <c r="U57" s="1"/>
      <c r="V57" s="1"/>
      <c r="W57" s="1"/>
      <c r="X57" s="1"/>
      <c r="Y57" s="1"/>
      <c r="Z57" s="1"/>
    </row>
    <row r="58" customFormat="false" ht="17" hidden="false" customHeight="true" outlineLevel="0" collapsed="false">
      <c r="A58" s="1"/>
      <c r="B58" s="1"/>
      <c r="C58" s="1"/>
      <c r="D58" s="1"/>
      <c r="E58" s="1"/>
      <c r="F58" s="1"/>
      <c r="G58" s="1"/>
      <c r="H58" s="84"/>
      <c r="I58" s="1"/>
      <c r="J58" s="1"/>
      <c r="K58" s="1"/>
      <c r="L58" s="7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customFormat="false" ht="17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customFormat="false" ht="17" hidden="false" customHeight="true" outlineLevel="0" collapsed="false"/>
    <row r="61" customFormat="false" ht="17" hidden="false" customHeight="true" outlineLevel="0" collapsed="false">
      <c r="E61" s="85"/>
    </row>
    <row r="62" customFormat="false" ht="17" hidden="false" customHeight="true" outlineLevel="0" collapsed="false"/>
    <row r="63" customFormat="false" ht="17" hidden="false" customHeight="true" outlineLevel="0" collapsed="false"/>
    <row r="64" customFormat="false" ht="17" hidden="false" customHeight="true" outlineLevel="0" collapsed="false"/>
    <row r="65" customFormat="false" ht="17" hidden="false" customHeight="true" outlineLevel="0" collapsed="false"/>
    <row r="66" customFormat="false" ht="17" hidden="false" customHeight="true" outlineLevel="0" collapsed="false"/>
    <row r="67" customFormat="false" ht="17" hidden="false" customHeight="true" outlineLevel="0" collapsed="false"/>
    <row r="68" customFormat="false" ht="17" hidden="false" customHeight="true" outlineLevel="0" collapsed="false"/>
    <row r="69" customFormat="false" ht="17" hidden="false" customHeight="true" outlineLevel="0" collapsed="false"/>
    <row r="70" customFormat="false" ht="17" hidden="false" customHeight="true" outlineLevel="0" collapsed="false"/>
    <row r="71" customFormat="false" ht="17" hidden="false" customHeight="true" outlineLevel="0" collapsed="false"/>
    <row r="72" customFormat="false" ht="17" hidden="false" customHeight="true" outlineLevel="0" collapsed="false"/>
    <row r="73" customFormat="false" ht="17" hidden="false" customHeight="true" outlineLevel="0" collapsed="false"/>
    <row r="74" customFormat="false" ht="17" hidden="false" customHeight="true" outlineLevel="0" collapsed="false"/>
    <row r="75" customFormat="false" ht="17" hidden="false" customHeight="true" outlineLevel="0" collapsed="false"/>
    <row r="76" customFormat="false" ht="17" hidden="false" customHeight="true" outlineLevel="0" collapsed="false"/>
    <row r="77" customFormat="false" ht="17" hidden="false" customHeight="true" outlineLevel="0" collapsed="false"/>
    <row r="78" customFormat="false" ht="17" hidden="false" customHeight="true" outlineLevel="0" collapsed="false"/>
    <row r="79" customFormat="false" ht="17" hidden="false" customHeight="true" outlineLevel="0" collapsed="false"/>
    <row r="80" customFormat="false" ht="17" hidden="false" customHeight="true" outlineLevel="0" collapsed="false"/>
    <row r="81" customFormat="false" ht="17" hidden="false" customHeight="true" outlineLevel="0" collapsed="false"/>
    <row r="82" customFormat="false" ht="17" hidden="false" customHeight="true" outlineLevel="0" collapsed="false"/>
    <row r="83" customFormat="false" ht="17" hidden="false" customHeight="true" outlineLevel="0" collapsed="false"/>
    <row r="84" customFormat="false" ht="17" hidden="false" customHeight="true" outlineLevel="0" collapsed="false"/>
    <row r="85" customFormat="false" ht="17" hidden="false" customHeight="true" outlineLevel="0" collapsed="false"/>
    <row r="86" customFormat="false" ht="17" hidden="false" customHeight="true" outlineLevel="0" collapsed="false"/>
    <row r="87" customFormat="false" ht="17" hidden="false" customHeight="true" outlineLevel="0" collapsed="false"/>
    <row r="88" customFormat="false" ht="17" hidden="false" customHeight="true" outlineLevel="0" collapsed="false"/>
    <row r="89" customFormat="false" ht="17" hidden="false" customHeight="true" outlineLevel="0" collapsed="false"/>
    <row r="90" customFormat="false" ht="17" hidden="false" customHeight="true" outlineLevel="0" collapsed="false"/>
    <row r="91" customFormat="false" ht="17" hidden="false" customHeight="true" outlineLevel="0" collapsed="false"/>
    <row r="92" customFormat="false" ht="17" hidden="false" customHeight="true" outlineLevel="0" collapsed="false"/>
    <row r="93" customFormat="false" ht="17" hidden="false" customHeight="true" outlineLevel="0" collapsed="false"/>
    <row r="94" customFormat="false" ht="17" hidden="false" customHeight="true" outlineLevel="0" collapsed="false"/>
    <row r="95" customFormat="false" ht="17" hidden="false" customHeight="true" outlineLevel="0" collapsed="false"/>
    <row r="96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7539062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5.54"/>
    <col collapsed="false" customWidth="true" hidden="false" outlineLevel="0" max="10" min="10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1"/>
      <c r="B1" s="1"/>
      <c r="C1" s="1"/>
      <c r="D1" s="1"/>
      <c r="E1" s="1"/>
      <c r="F1" s="2"/>
      <c r="G1" s="86" t="n">
        <f aca="false">RADIANS(MOD(G7-180,-360)+180)</f>
        <v>0</v>
      </c>
      <c r="H1" s="86"/>
      <c r="I1" s="86"/>
      <c r="J1" s="86" t="n">
        <f aca="false">RADIANS(MOD(J7-180,-360)+180)</f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17" hidden="false" customHeight="true" outlineLevel="0" collapsed="false">
      <c r="A2" s="8"/>
      <c r="B2" s="8"/>
      <c r="C2" s="1"/>
      <c r="D2" s="1"/>
      <c r="E2" s="1"/>
      <c r="F2" s="87" t="s">
        <v>72</v>
      </c>
      <c r="G2" s="88" t="str">
        <f aca="false">TEXT(  RIGHT(INT(G31*10^-1)),0 )&amp;TEXT(  RIGHT(INT(G31*10^0)),0 )&amp; "." &amp; "0"&amp; TEXT(  RIGHT(INT(G31*10^1)),0 ) &amp; "0"&amp; TEXT(  RIGHT(INT(G31*10^2)),0 ) &amp; "0"&amp; TEXT(  RIGHT(INT(G31*10^3)),0 ) &amp; "0"&amp; TEXT(  RIGHT(INT(G31*10^4)),0 ) &amp; "0"&amp; TEXT(  RIGHT(INT(G31*10^5)),0 ) &amp; "0"&amp; TEXT(  RIGHT(INT(G31*10^6)),0 ) &amp; "0"&amp; TEXT(  RIGHT(INT(G31*10^7)),0 )</f>
        <v>00.00000000000000</v>
      </c>
      <c r="H2" s="88"/>
      <c r="I2" s="88"/>
      <c r="J2" s="88" t="str">
        <f aca="false">TEXT(  RIGHT(INT(J31*10^0)),0 )&amp; "." &amp; "0"&amp; TEXT(  RIGHT(INT(J31*10^1)),0 ) &amp; "0"&amp; TEXT(  RIGHT(INT(J31*10^2)),0 ) &amp; "0"&amp; TEXT(  RIGHT(INT(J31*10^3)),0 ) &amp; "0"&amp; TEXT(  RIGHT(INT(J31*10^4)),0 ) &amp; "0"&amp; TEXT(  RIGHT(INT(J31*10^5)),0 ) &amp; "0"&amp; TEXT(  RIGHT(INT(J31*10^6)),0 ) &amp; "0"&amp; TEXT(  RIGHT(INT(J31*10^7)),0 )</f>
        <v>0.00000000000000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customFormat="false" ht="25.35" hidden="false" customHeight="true" outlineLevel="0" collapsed="false">
      <c r="A3" s="59"/>
      <c r="B3" s="1"/>
      <c r="C3" s="9"/>
      <c r="D3" s="1"/>
      <c r="E3" s="1"/>
      <c r="F3" s="10"/>
      <c r="G3" s="11"/>
      <c r="H3" s="12" t="s">
        <v>73</v>
      </c>
      <c r="I3" s="13"/>
      <c r="J3" s="13"/>
      <c r="K3" s="13"/>
      <c r="L3" s="1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59" t="s">
        <v>74</v>
      </c>
      <c r="Y3" s="1"/>
      <c r="Z3" s="1"/>
    </row>
    <row r="4" customFormat="false" ht="17" hidden="false" customHeight="tru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89"/>
      <c r="R4" s="24"/>
      <c r="S4" s="1"/>
      <c r="T4" s="1"/>
      <c r="U4" s="1"/>
      <c r="V4" s="1"/>
      <c r="W4" s="1"/>
      <c r="X4" s="1"/>
      <c r="Y4" s="1"/>
      <c r="Z4" s="1"/>
    </row>
    <row r="5" customFormat="false" ht="17" hidden="false" customHeight="true" outlineLevel="0" collapsed="false">
      <c r="A5" s="59"/>
      <c r="B5" s="59"/>
      <c r="C5" s="1"/>
      <c r="D5" s="1"/>
      <c r="E5" s="1"/>
      <c r="F5" s="42"/>
      <c r="G5" s="90" t="s">
        <v>75</v>
      </c>
      <c r="H5" s="91"/>
      <c r="I5" s="42"/>
      <c r="J5" s="90" t="s">
        <v>76</v>
      </c>
      <c r="K5" s="91"/>
      <c r="L5" s="1"/>
      <c r="M5" s="1"/>
      <c r="N5" s="1"/>
      <c r="O5" s="1"/>
      <c r="P5" s="1"/>
      <c r="Q5" s="23"/>
      <c r="R5" s="1"/>
      <c r="S5" s="1"/>
      <c r="T5" s="1"/>
      <c r="U5" s="1"/>
      <c r="V5" s="1"/>
      <c r="W5" s="1"/>
      <c r="X5" s="1"/>
      <c r="Y5" s="1"/>
      <c r="Z5" s="1"/>
    </row>
    <row r="6" customFormat="false" ht="17" hidden="false" customHeight="true" outlineLevel="0" collapsed="false">
      <c r="A6" s="1"/>
      <c r="B6" s="1"/>
      <c r="C6" s="1"/>
      <c r="D6" s="1"/>
      <c r="E6" s="1"/>
      <c r="F6" s="42"/>
      <c r="G6" s="1"/>
      <c r="H6" s="91"/>
      <c r="I6" s="42"/>
      <c r="J6" s="1"/>
      <c r="K6" s="9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customFormat="false" ht="37.3" hidden="false" customHeight="true" outlineLevel="0" collapsed="false">
      <c r="A7" s="49"/>
      <c r="B7" s="34"/>
      <c r="C7" s="1"/>
      <c r="D7" s="92"/>
      <c r="E7" s="1"/>
      <c r="F7" s="42" t="s">
        <v>77</v>
      </c>
      <c r="G7" s="93"/>
      <c r="H7" s="91" t="s">
        <v>78</v>
      </c>
      <c r="I7" s="42" t="s">
        <v>79</v>
      </c>
      <c r="J7" s="93"/>
      <c r="K7" s="91" t="s">
        <v>78</v>
      </c>
      <c r="L7" s="1"/>
      <c r="M7" s="1"/>
      <c r="N7" s="1"/>
      <c r="O7" s="1"/>
      <c r="P7" s="1"/>
      <c r="Q7" s="23"/>
      <c r="R7" s="1"/>
      <c r="S7" s="1"/>
      <c r="T7" s="1"/>
      <c r="U7" s="1"/>
      <c r="V7" s="1"/>
      <c r="W7" s="1"/>
      <c r="X7" s="1"/>
      <c r="Y7" s="1"/>
      <c r="Z7" s="1"/>
    </row>
    <row r="8" customFormat="false" ht="17" hidden="false" customHeight="true" outlineLevel="0" collapsed="false">
      <c r="A8" s="1"/>
      <c r="B8" s="1"/>
      <c r="C8" s="1"/>
      <c r="D8" s="1"/>
      <c r="E8" s="1"/>
      <c r="F8" s="1"/>
      <c r="G8" s="1"/>
      <c r="H8" s="94"/>
      <c r="I8" s="1"/>
      <c r="J8" s="1"/>
      <c r="K8" s="1"/>
      <c r="L8" s="1"/>
      <c r="M8" s="1"/>
      <c r="N8" s="1"/>
      <c r="O8" s="1"/>
      <c r="P8" s="1"/>
      <c r="Q8" s="23"/>
      <c r="R8" s="1"/>
      <c r="S8" s="1"/>
      <c r="T8" s="1"/>
      <c r="U8" s="1"/>
      <c r="V8" s="1"/>
      <c r="W8" s="1"/>
      <c r="X8" s="1"/>
      <c r="Y8" s="1"/>
      <c r="Z8" s="1"/>
    </row>
    <row r="9" customFormat="false" ht="17" hidden="false" customHeight="true" outlineLevel="0" collapsed="false">
      <c r="A9" s="1"/>
      <c r="B9" s="1"/>
      <c r="C9" s="14"/>
      <c r="D9" s="1"/>
      <c r="E9" s="1"/>
      <c r="F9" s="1"/>
      <c r="G9" s="1"/>
      <c r="H9" s="95" t="str">
        <f aca="false">IF(AND( NOT((G38)="--"), NOT((J38)="--"), ((H10)="") , ((H11)="")  ) , "そちらの　方 向　から　∠ 2　～　6　ど　ていど　はなれて　　"&amp;TEXT(G38,0)&amp;TEXT(J38,0)&amp;"　cho°　が　あります" ,"")</f>
        <v/>
      </c>
      <c r="I9" s="1"/>
      <c r="J9" s="1"/>
      <c r="K9" s="96"/>
      <c r="L9" s="1"/>
      <c r="M9" s="1"/>
      <c r="N9" s="1"/>
      <c r="O9" s="1"/>
      <c r="P9" s="1"/>
      <c r="Q9" s="23"/>
      <c r="R9" s="24"/>
      <c r="S9" s="1"/>
      <c r="T9" s="1"/>
      <c r="U9" s="1"/>
      <c r="V9" s="1"/>
      <c r="W9" s="1"/>
      <c r="X9" s="1"/>
      <c r="Y9" s="1"/>
      <c r="Z9" s="1"/>
    </row>
    <row r="10" customFormat="false" ht="17" hidden="false" customHeight="true" outlineLevel="0" collapsed="false">
      <c r="A10" s="1"/>
      <c r="B10" s="1"/>
      <c r="C10" s="14"/>
      <c r="D10" s="1"/>
      <c r="E10" s="1"/>
      <c r="F10" s="97"/>
      <c r="G10" s="1"/>
      <c r="H10" s="95" t="str">
        <f aca="false">IF(AND( NOT((G39)="--"), NOT((J39)="--"), ((H11)="")  ) , "そちらの　方 向　から　∠ 1 ～ 3　ど　ていど　はなれて　　"&amp;TEXT(G39,0)&amp;TEXT(J39,0)&amp;"　cho°　が　あります" ,"")</f>
        <v/>
      </c>
      <c r="I10" s="1"/>
      <c r="J10" s="1"/>
      <c r="K10" s="1"/>
      <c r="L10" s="1"/>
      <c r="M10" s="1"/>
      <c r="N10" s="1"/>
      <c r="O10" s="1"/>
      <c r="P10" s="1"/>
      <c r="Q10" s="23"/>
      <c r="R10" s="1"/>
      <c r="S10" s="1"/>
      <c r="T10" s="1"/>
      <c r="U10" s="1"/>
      <c r="V10" s="1"/>
      <c r="W10" s="1"/>
      <c r="X10" s="1"/>
      <c r="Y10" s="1"/>
      <c r="Z10" s="1"/>
    </row>
    <row r="11" customFormat="false" ht="17" hidden="false" customHeight="true" outlineLevel="0" collapsed="false">
      <c r="A11" s="1"/>
      <c r="B11" s="1"/>
      <c r="C11" s="1"/>
      <c r="D11" s="1"/>
      <c r="E11" s="1"/>
      <c r="F11" s="1"/>
      <c r="G11" s="1"/>
      <c r="H11" s="98" t="str">
        <f aca="false">IF(AND( NOT((G37)="--"), NOT((J37)="--")  ) , "そちらの　方 向　は　ほぼ　した　の　cho°　パネル　の　かど　に　なります" ,"")</f>
        <v/>
      </c>
      <c r="I11" s="1"/>
      <c r="J11" s="1"/>
      <c r="K11" s="1"/>
      <c r="L11" s="9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customFormat="false" ht="17" hidden="false" customHeight="true" outlineLevel="0" collapsed="false">
      <c r="A12" s="1"/>
      <c r="B12" s="1"/>
      <c r="C12" s="1"/>
      <c r="D12" s="1"/>
      <c r="E12" s="1"/>
      <c r="F12" s="1"/>
      <c r="G12" s="1"/>
      <c r="H12" s="98"/>
      <c r="I12" s="1"/>
      <c r="J12" s="1"/>
      <c r="K12" s="1"/>
      <c r="L12" s="1"/>
      <c r="M12" s="1"/>
      <c r="N12" s="1"/>
      <c r="O12" s="1"/>
      <c r="P12" s="1"/>
      <c r="Q12" s="1"/>
      <c r="R12" s="23"/>
      <c r="S12" s="1"/>
      <c r="T12" s="1"/>
      <c r="U12" s="1"/>
      <c r="V12" s="1"/>
      <c r="W12" s="1"/>
      <c r="X12" s="1"/>
      <c r="Y12" s="1"/>
      <c r="Z12" s="1"/>
    </row>
    <row r="13" customFormat="false" ht="32.9" hidden="false" customHeight="true" outlineLevel="0" collapsed="false">
      <c r="A13" s="1"/>
      <c r="B13" s="1"/>
      <c r="C13" s="49"/>
      <c r="D13" s="100"/>
      <c r="E13" s="1"/>
      <c r="F13" s="1"/>
      <c r="G13" s="42" t="s">
        <v>80</v>
      </c>
      <c r="H13" s="101" t="n">
        <f aca="false">ROUNDDOWN((ROUNDDOWN((G2),6)*10+ROUNDDOWN(J2,6)),4)</f>
        <v>0</v>
      </c>
      <c r="I13" s="102" t="s">
        <v>81</v>
      </c>
      <c r="J13" s="40" t="s">
        <v>25</v>
      </c>
      <c r="K13" s="1"/>
      <c r="L13" s="1"/>
      <c r="M13" s="1"/>
      <c r="N13" s="1"/>
      <c r="O13" s="1"/>
      <c r="P13" s="1"/>
      <c r="Q13" s="1"/>
      <c r="R13" s="23"/>
      <c r="S13" s="1"/>
      <c r="T13" s="1"/>
      <c r="U13" s="1"/>
      <c r="V13" s="1"/>
      <c r="W13" s="1"/>
      <c r="X13" s="1"/>
      <c r="Y13" s="1"/>
      <c r="Z13" s="1"/>
    </row>
    <row r="14" customFormat="false" ht="17" hidden="false" customHeight="true" outlineLevel="0" collapsed="false">
      <c r="A14" s="1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23"/>
      <c r="S14" s="1"/>
      <c r="T14" s="1"/>
      <c r="U14" s="1"/>
      <c r="V14" s="1"/>
      <c r="W14" s="1"/>
      <c r="X14" s="1"/>
      <c r="Y14" s="1"/>
      <c r="Z14" s="1"/>
    </row>
    <row r="15" customFormat="false" ht="17" hidden="false" customHeight="true" outlineLevel="0" collapsed="false">
      <c r="A15" s="1"/>
      <c r="B15" s="1"/>
      <c r="C15" s="1"/>
      <c r="D15" s="103"/>
      <c r="E15" s="1"/>
      <c r="F15" s="1"/>
      <c r="G15" s="1"/>
      <c r="H15" s="95" t="str">
        <f aca="false">IF(AND( NOT((G37)="--"), NOT((J37)="--")  ) , "↓" , "" )</f>
        <v/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customFormat="false" ht="17" hidden="false" customHeight="true" outlineLevel="0" collapsed="false">
      <c r="A16" s="10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customFormat="false" ht="32.9" hidden="false" customHeight="true" outlineLevel="0" collapsed="false">
      <c r="A17" s="1"/>
      <c r="B17" s="1"/>
      <c r="C17" s="1"/>
      <c r="D17" s="1"/>
      <c r="E17" s="1"/>
      <c r="F17" s="1"/>
      <c r="G17" s="104" t="str">
        <f aca="false">IF(AND( NOT((G37)="--"), NOT((J37)="--")  ) , "わずか　∠　0.5　ど　みまん　ていど　はなれて　" ,"")</f>
        <v/>
      </c>
      <c r="H17" s="105" t="str">
        <f aca="false">IF(AND( NOT((G37)="--"), NOT((J37)="--")  ) , ROUNDDOWN((G37)*10+(J37),6) ,"")</f>
        <v/>
      </c>
      <c r="I17" s="106" t="str">
        <f aca="false">IF(AND( NOT((G37)="--"), NOT((J37)="--")  ) , "cho°" ,"")</f>
        <v/>
      </c>
      <c r="J17" s="36" t="str">
        <f aca="false">IF(AND( NOT((G37)="--"), NOT((J37)="--")  ) , "　の　むき　が　あります" ,"")</f>
        <v/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customFormat="false" ht="17" hidden="false" customHeight="tru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07" t="s">
        <v>82</v>
      </c>
      <c r="O18" s="107" t="s">
        <v>83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customFormat="false" ht="17" hidden="false" customHeight="true" outlineLevel="0" collapsed="false">
      <c r="A19" s="1"/>
      <c r="B19" s="1"/>
      <c r="C19" s="1"/>
      <c r="D19" s="1"/>
      <c r="E19" s="1"/>
      <c r="F19" s="1"/>
      <c r="G19" s="1"/>
      <c r="H19" s="108" t="str">
        <f aca="false">IF(AND( ((H11)=""), ((H10)="") ) ,"", "cho°　の　小 数 位　が　　9090 ,　9999　,　0909　などに　ちかい ときは　かど　を　イメージ　します" )</f>
        <v/>
      </c>
      <c r="I19" s="1"/>
      <c r="J19" s="1"/>
      <c r="K19" s="1"/>
      <c r="L19" s="1"/>
      <c r="M19" s="1"/>
      <c r="N19" s="107"/>
      <c r="O19" s="107" t="s">
        <v>84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34.3" hidden="false" customHeight="true" outlineLevel="0" collapsed="false">
      <c r="A20" s="1"/>
      <c r="B20" s="1"/>
      <c r="C20" s="1"/>
      <c r="D20" s="1"/>
      <c r="E20" s="1"/>
      <c r="F20" s="1"/>
      <c r="G20" s="1"/>
      <c r="H20" s="95"/>
      <c r="I20" s="1"/>
      <c r="J20" s="1"/>
      <c r="K20" s="1"/>
      <c r="L20" s="1"/>
      <c r="M20" s="1"/>
      <c r="N20" s="107"/>
      <c r="O20" s="10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32.9" hidden="false" customHeight="true" outlineLevel="0" collapsed="false">
      <c r="A21" s="1"/>
      <c r="B21" s="1"/>
      <c r="C21" s="1"/>
      <c r="D21" s="27" t="s">
        <v>15</v>
      </c>
      <c r="E21" s="1"/>
      <c r="F21" s="28" t="s">
        <v>16</v>
      </c>
      <c r="G21" s="29" t="n">
        <f aca="false">COS(G1)*COS(J1)</f>
        <v>1</v>
      </c>
      <c r="H21" s="30" t="s">
        <v>17</v>
      </c>
      <c r="I21" s="29" t="n">
        <f aca="false">COS(J1)*SIN(G1)</f>
        <v>0</v>
      </c>
      <c r="J21" s="30" t="s">
        <v>18</v>
      </c>
      <c r="K21" s="29" t="n">
        <f aca="false">SIN(J1)</f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7" hidden="false" customHeight="true" outlineLevel="0" collapsed="false">
      <c r="A22" s="1"/>
      <c r="B22" s="1"/>
      <c r="C22" s="1"/>
      <c r="D22" s="1"/>
      <c r="E22" s="1"/>
      <c r="F22" s="1"/>
      <c r="G22" s="28"/>
      <c r="H22" s="1"/>
      <c r="I22" s="1"/>
      <c r="J22" s="1"/>
      <c r="K22" s="1"/>
      <c r="L22" s="1"/>
      <c r="M22" s="109"/>
      <c r="N22" s="109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7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32.9" hidden="false" customHeight="true" outlineLevel="0" collapsed="false">
      <c r="A24" s="1"/>
      <c r="B24" s="1"/>
      <c r="C24" s="1"/>
      <c r="D24" s="25" t="s">
        <v>9</v>
      </c>
      <c r="E24" s="1"/>
      <c r="F24" s="1"/>
      <c r="G24" s="64" t="n">
        <f aca="false">SQRT((G21)^2+(K21)^2+(I21)^2)</f>
        <v>1</v>
      </c>
      <c r="H24" s="1"/>
      <c r="I24" s="1"/>
      <c r="J24" s="1"/>
      <c r="K24" s="1"/>
      <c r="L24" s="1"/>
      <c r="M24" s="1"/>
      <c r="N24" s="1"/>
      <c r="O24" s="51" t="s">
        <v>49</v>
      </c>
      <c r="P24" s="1"/>
      <c r="Q24" s="7"/>
      <c r="R24" s="1"/>
      <c r="S24" s="1"/>
      <c r="T24" s="1"/>
      <c r="U24" s="1"/>
      <c r="V24" s="1"/>
      <c r="W24" s="1"/>
      <c r="X24" s="1"/>
      <c r="Y24" s="1"/>
      <c r="Z24" s="1"/>
    </row>
    <row r="25" customFormat="false" ht="17" hidden="false" customHeight="true" outlineLevel="0" collapsed="false">
      <c r="A25" s="1"/>
      <c r="B25" s="1"/>
      <c r="C25" s="1"/>
      <c r="D25" s="1"/>
      <c r="E25" s="1"/>
      <c r="F25" s="1"/>
      <c r="G25" s="33" t="s">
        <v>20</v>
      </c>
      <c r="H25" s="1"/>
      <c r="I25" s="1"/>
      <c r="J25" s="1"/>
      <c r="K25" s="1"/>
      <c r="L25" s="7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customFormat="false" ht="17" hidden="false" customHeight="tru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51" t="s">
        <v>85</v>
      </c>
      <c r="P26" s="1"/>
      <c r="Q26" s="7"/>
      <c r="R26" s="1"/>
      <c r="S26" s="1"/>
      <c r="T26" s="1"/>
      <c r="U26" s="1"/>
      <c r="V26" s="1"/>
      <c r="W26" s="1"/>
      <c r="X26" s="1"/>
      <c r="Y26" s="1"/>
      <c r="Z26" s="1"/>
    </row>
    <row r="27" customFormat="false" ht="17" hidden="false" customHeight="true" outlineLevel="0" collapsed="false">
      <c r="A27" s="1"/>
      <c r="B27" s="1"/>
      <c r="C27" s="1"/>
      <c r="D27" s="1"/>
      <c r="E27" s="1"/>
      <c r="F27" s="1"/>
      <c r="G27" s="1"/>
      <c r="H27" s="84"/>
      <c r="I27" s="1"/>
      <c r="J27" s="1"/>
      <c r="K27" s="1"/>
      <c r="L27" s="7"/>
      <c r="M27" s="1"/>
      <c r="N27" s="1"/>
      <c r="O27" s="1" t="s">
        <v>86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customFormat="false" ht="17" hidden="false" customHeight="true" outlineLevel="0" collapsed="false">
      <c r="A28" s="1"/>
      <c r="B28" s="1"/>
      <c r="C28" s="1"/>
      <c r="D28" s="1"/>
      <c r="E28" s="1"/>
      <c r="F28" s="1"/>
      <c r="G28" s="21" t="s">
        <v>87</v>
      </c>
      <c r="H28" s="1"/>
      <c r="I28" s="1"/>
      <c r="J28" s="21" t="s">
        <v>88</v>
      </c>
      <c r="K28" s="1"/>
      <c r="L28" s="1"/>
      <c r="M28" s="1"/>
      <c r="N28" s="1"/>
      <c r="O28" s="40" t="s">
        <v>89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customFormat="false" ht="32.9" hidden="false" customHeight="true" outlineLevel="0" collapsed="false">
      <c r="A29" s="1"/>
      <c r="B29" s="1"/>
      <c r="C29" s="1"/>
      <c r="D29" s="110" t="s">
        <v>90</v>
      </c>
      <c r="E29" s="1"/>
      <c r="F29" s="42" t="s">
        <v>91</v>
      </c>
      <c r="G29" s="111" t="n">
        <f aca="false">ABS(DEGREES(ACOS((G21))))</f>
        <v>0</v>
      </c>
      <c r="H29" s="40" t="s">
        <v>30</v>
      </c>
      <c r="I29" s="42" t="s">
        <v>92</v>
      </c>
      <c r="J29" s="111" t="n">
        <f aca="false">IFERROR(IF(G21=-1,0,IF(-DEGREES(ATAN2((K21),(I21))) &lt;0 , 360-DEGREES(ATAN2((K21),(I21))), -DEGREES(ATAN2((K21),(I21))))),1E-020)</f>
        <v>-0</v>
      </c>
      <c r="K29" s="40" t="s">
        <v>30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customFormat="false" ht="17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32" t="n">
        <f aca="false">(J29)/30</f>
        <v>-0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17" hidden="false" customHeight="true" outlineLevel="0" collapsed="false">
      <c r="A31" s="1"/>
      <c r="B31" s="1"/>
      <c r="C31" s="1"/>
      <c r="D31" s="1"/>
      <c r="E31" s="1"/>
      <c r="F31" s="112" t="s">
        <v>93</v>
      </c>
      <c r="G31" s="113" t="n">
        <f aca="false">(G29)/18</f>
        <v>0</v>
      </c>
      <c r="H31" s="114" t="s">
        <v>94</v>
      </c>
      <c r="I31" s="112" t="s">
        <v>95</v>
      </c>
      <c r="J31" s="113" t="n">
        <f aca="false">(J29)/36</f>
        <v>-0</v>
      </c>
      <c r="K31" s="114" t="s">
        <v>96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customFormat="false" ht="17" hidden="false" customHeight="true" outlineLevel="0" collapsed="false">
      <c r="A32" s="103"/>
      <c r="B32" s="1"/>
      <c r="C32" s="1"/>
      <c r="D32" s="1"/>
      <c r="E32" s="1"/>
      <c r="F32" s="1"/>
      <c r="G32" s="21"/>
      <c r="H32" s="1"/>
      <c r="I32" s="1"/>
      <c r="J32" s="2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customFormat="false" ht="17" hidden="false" customHeight="true" outlineLevel="0" collapsed="false">
      <c r="A33" s="1"/>
      <c r="B33" s="21" t="s">
        <v>97</v>
      </c>
      <c r="C33" s="1"/>
      <c r="D33" s="1"/>
      <c r="E33" s="1"/>
      <c r="F33" s="1"/>
      <c r="G33" s="21" t="s">
        <v>17</v>
      </c>
      <c r="H33" s="1"/>
      <c r="I33" s="1"/>
      <c r="J33" s="21" t="s">
        <v>18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customFormat="false" ht="32.9" hidden="false" customHeight="true" outlineLevel="0" collapsed="false">
      <c r="A34" s="42" t="s">
        <v>98</v>
      </c>
      <c r="B34" s="115" t="n">
        <f aca="false">IF(ROUND(G21,8)=0,0,100*SIGN(G21))</f>
        <v>100</v>
      </c>
      <c r="C34" s="1"/>
      <c r="D34" s="35" t="s">
        <v>56</v>
      </c>
      <c r="E34" s="1"/>
      <c r="F34" s="42" t="s">
        <v>99</v>
      </c>
      <c r="G34" s="116" t="n">
        <f aca="false">IF( ROUND(I21,8)=0, 0 ,  IF( ROUND(G21,8)=0,100*SIGN(I21)  ,    ABS((I21)/(G21)*100)*SIGN(I21)   ))</f>
        <v>0</v>
      </c>
      <c r="H34" s="1"/>
      <c r="I34" s="42" t="s">
        <v>100</v>
      </c>
      <c r="J34" s="116" t="n">
        <f aca="false">IF( ROUND(K21,8)=0, 0 ,  IF( ROUND(G21,8)=0,100*SIGN(K21) ,    ABS((K21)/(G21)*100)*SIGN(K21)   ))</f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17" hidden="false" customHeight="true" outlineLevel="0" collapsed="false">
      <c r="A35" s="1"/>
      <c r="B35" s="1"/>
      <c r="C35" s="1"/>
      <c r="D35" s="1"/>
      <c r="E35" s="1"/>
      <c r="F35" s="1"/>
      <c r="G35" s="117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17" hidden="false" customHeight="tru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customFormat="false" ht="17" hidden="false" customHeight="true" outlineLevel="0" collapsed="false">
      <c r="A37" s="1"/>
      <c r="B37" s="1"/>
      <c r="C37" s="1"/>
      <c r="D37" s="1"/>
      <c r="E37" s="1"/>
      <c r="F37" s="1"/>
      <c r="G37" s="21" t="str">
        <f aca="false">IF(  OR((G7)="" , (J7)="" ) , "--",   IF(ABS(MOD((G29)+9,18)-9)&lt;0.5,ROUND((G29)/18,0),"--")  )</f>
        <v>--</v>
      </c>
      <c r="H37" s="21"/>
      <c r="I37" s="21"/>
      <c r="J37" s="21" t="n">
        <f aca="false">IF(ABS(MOD((J29)+18,36)-18)&lt;0.5,ROUND((J29)/36,0),"--")</f>
        <v>-0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customFormat="false" ht="17" hidden="false" customHeight="true" outlineLevel="0" collapsed="false">
      <c r="A38" s="1"/>
      <c r="B38" s="1"/>
      <c r="C38" s="1"/>
      <c r="D38" s="1"/>
      <c r="E38" s="1"/>
      <c r="F38" s="1"/>
      <c r="G38" s="21" t="str">
        <f aca="false">IF(  OR((G7)="" , (J7)="" ) , "--",   IF(ABS(MOD((G29)+9,18)-9)&lt;4,ROUND((G29)/18,0),"--"))</f>
        <v>--</v>
      </c>
      <c r="H38" s="21"/>
      <c r="I38" s="21"/>
      <c r="J38" s="21" t="n">
        <f aca="false">IF(ABS(MOD((J29)+18,36)-18)&lt;4,ROUND((J29)/36,0),"--")</f>
        <v>-0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customFormat="false" ht="17" hidden="false" customHeight="true" outlineLevel="0" collapsed="false">
      <c r="A39" s="1"/>
      <c r="B39" s="1"/>
      <c r="C39" s="1"/>
      <c r="D39" s="1"/>
      <c r="E39" s="1"/>
      <c r="F39" s="1"/>
      <c r="G39" s="21" t="str">
        <f aca="false">IF(  OR((G7)="" , (J7)="" ) , "--",   IF(ABS(MOD((G29)+9,18)-9)&lt;2,ROUND((G29)/18,0),"--"))</f>
        <v>--</v>
      </c>
      <c r="H39" s="21"/>
      <c r="I39" s="21"/>
      <c r="J39" s="21" t="n">
        <f aca="false">IF(ABS(MOD((J29)+18,36)-18)&lt;2,ROUND((J29)/36,0),"--")</f>
        <v>-0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customFormat="false" ht="17" hidden="false" customHeight="tru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17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3" customFormat="false" ht="17" hidden="false" customHeight="true" outlineLevel="0" collapsed="false">
      <c r="E43" s="85"/>
    </row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>
      <c r="A46" s="0" t="s">
        <v>101</v>
      </c>
      <c r="C46" s="0" t="s">
        <v>102</v>
      </c>
    </row>
    <row r="47" customFormat="false" ht="17" hidden="false" customHeight="true" outlineLevel="0" collapsed="false">
      <c r="A47" s="0" t="s">
        <v>103</v>
      </c>
      <c r="C47" s="0" t="s">
        <v>104</v>
      </c>
    </row>
    <row r="48" customFormat="false" ht="17" hidden="false" customHeight="true" outlineLevel="0" collapsed="false">
      <c r="A48" s="0" t="s">
        <v>5</v>
      </c>
      <c r="C48" s="0" t="s">
        <v>105</v>
      </c>
    </row>
    <row r="49" customFormat="false" ht="17" hidden="false" customHeight="true" outlineLevel="0" collapsed="false">
      <c r="A49" s="0" t="s">
        <v>106</v>
      </c>
      <c r="C49" s="0" t="s">
        <v>107</v>
      </c>
    </row>
    <row r="50" customFormat="false" ht="17" hidden="false" customHeight="true" outlineLevel="0" collapsed="false">
      <c r="C50" s="0" t="s">
        <v>108</v>
      </c>
    </row>
    <row r="51" customFormat="false" ht="17" hidden="false" customHeight="true" outlineLevel="0" collapsed="false">
      <c r="A51" s="0" t="s">
        <v>109</v>
      </c>
      <c r="C51" s="0" t="s">
        <v>110</v>
      </c>
    </row>
    <row r="52" customFormat="false" ht="17" hidden="false" customHeight="true" outlineLevel="0" collapsed="false">
      <c r="A52" s="0" t="s">
        <v>26</v>
      </c>
      <c r="C52" s="0" t="s">
        <v>111</v>
      </c>
    </row>
    <row r="53" customFormat="false" ht="17" hidden="false" customHeight="true" outlineLevel="0" collapsed="false">
      <c r="A53" s="0" t="s">
        <v>112</v>
      </c>
      <c r="C53" s="0" t="s">
        <v>113</v>
      </c>
      <c r="E53" s="85"/>
    </row>
    <row r="54" customFormat="false" ht="17" hidden="false" customHeight="true" outlineLevel="0" collapsed="false">
      <c r="F54" s="18"/>
      <c r="H54" s="18"/>
      <c r="J54" s="18"/>
      <c r="L54" s="18"/>
    </row>
    <row r="55" customFormat="false" ht="17" hidden="false" customHeight="true" outlineLevel="0" collapsed="false"/>
    <row r="56" customFormat="false" ht="17" hidden="false" customHeight="true" outlineLevel="0" collapsed="false">
      <c r="F56" s="18"/>
      <c r="H56" s="18"/>
      <c r="J56" s="18"/>
      <c r="L56" s="18"/>
    </row>
    <row r="57" customFormat="false" ht="17" hidden="false" customHeight="true" outlineLevel="0" collapsed="false"/>
    <row r="58" customFormat="false" ht="17" hidden="false" customHeight="true" outlineLevel="0" collapsed="false"/>
    <row r="59" customFormat="false" ht="17" hidden="false" customHeight="true" outlineLevel="0" collapsed="false"/>
    <row r="60" customFormat="false" ht="17" hidden="false" customHeight="true" outlineLevel="0" collapsed="false"/>
    <row r="61" customFormat="false" ht="17" hidden="false" customHeight="true" outlineLevel="0" collapsed="false"/>
    <row r="62" customFormat="false" ht="17" hidden="false" customHeight="true" outlineLevel="0" collapsed="false"/>
    <row r="63" customFormat="false" ht="17" hidden="false" customHeight="true" outlineLevel="0" collapsed="false"/>
    <row r="64" customFormat="false" ht="17" hidden="false" customHeight="true" outlineLevel="0" collapsed="false"/>
    <row r="65" customFormat="false" ht="17" hidden="false" customHeight="true" outlineLevel="0" collapsed="false"/>
    <row r="66" customFormat="false" ht="17" hidden="false" customHeight="true" outlineLevel="0" collapsed="false"/>
    <row r="67" customFormat="false" ht="17" hidden="false" customHeight="true" outlineLevel="0" collapsed="false"/>
  </sheetData>
  <hyperlinks>
    <hyperlink ref="N18" r:id="rId1" display="詳 細"/>
    <hyperlink ref="O18" r:id="rId2" display="参考１図"/>
    <hyperlink ref="O19" r:id="rId3" display="参考２図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6640625" defaultRowHeight="12.8" zeroHeight="false" outlineLevelRow="0" outlineLevelCol="0"/>
  <cols>
    <col collapsed="false" customWidth="true" hidden="false" outlineLevel="0" max="3" min="3" style="0" width="12.6"/>
    <col collapsed="false" customWidth="true" hidden="false" outlineLevel="0" max="4" min="4" style="0" width="16.08"/>
    <col collapsed="false" customWidth="true" hidden="false" outlineLevel="0" max="5" min="5" style="0" width="12.6"/>
    <col collapsed="false" customWidth="true" hidden="false" outlineLevel="0" max="10" min="10" style="0" width="12.6"/>
    <col collapsed="false" customWidth="true" hidden="false" outlineLevel="0" max="11" min="11" style="0" width="16.08"/>
    <col collapsed="false" customWidth="true" hidden="false" outlineLevel="0" max="12" min="12" style="0" width="12.6"/>
  </cols>
  <sheetData>
    <row r="1" customFormat="false" ht="17" hidden="false" customHeight="true" outlineLevel="0" collapsed="false">
      <c r="A1" s="118"/>
      <c r="B1" s="119"/>
      <c r="C1" s="120"/>
      <c r="D1" s="121" t="n">
        <f aca="false">IF(ABS(MOD(D7,200*SIGN(IF(D7=0,1,D7))))&lt;=100     ,       ABS(MOD(D7,200*SIGN(IF(D7=0,1,D7))))  ,      200-ABS(MOD(D7,200*SIGN(IF(D7=0,1,D7))))    )</f>
        <v>0</v>
      </c>
      <c r="E1" s="120"/>
      <c r="F1" s="120"/>
      <c r="G1" s="120"/>
      <c r="H1" s="122"/>
      <c r="I1" s="122"/>
      <c r="J1" s="123" t="n">
        <f aca="false">MOD(J7,360)</f>
        <v>0</v>
      </c>
      <c r="K1" s="124"/>
      <c r="L1" s="125" t="n">
        <f aca="false">MOD(L7,360)</f>
        <v>0</v>
      </c>
      <c r="M1" s="122"/>
      <c r="N1" s="122"/>
      <c r="O1" s="1"/>
      <c r="P1" s="1"/>
      <c r="Q1" s="1"/>
      <c r="R1" s="1"/>
      <c r="S1" s="1"/>
    </row>
    <row r="2" customFormat="false" ht="17" hidden="false" customHeight="true" outlineLevel="0" collapsed="false">
      <c r="A2" s="120"/>
      <c r="B2" s="126" t="s">
        <v>21</v>
      </c>
      <c r="C2" s="120"/>
      <c r="D2" s="127"/>
      <c r="E2" s="120"/>
      <c r="F2" s="120"/>
      <c r="G2" s="126"/>
      <c r="H2" s="122"/>
      <c r="I2" s="122"/>
      <c r="J2" s="122"/>
      <c r="K2" s="122"/>
      <c r="L2" s="122"/>
      <c r="M2" s="122"/>
      <c r="N2" s="122"/>
      <c r="O2" s="1"/>
      <c r="P2" s="1"/>
      <c r="Q2" s="1"/>
      <c r="R2" s="1"/>
      <c r="S2" s="1"/>
    </row>
    <row r="3" customFormat="false" ht="32.9" hidden="false" customHeight="true" outlineLevel="0" collapsed="false">
      <c r="A3" s="120"/>
      <c r="B3" s="128"/>
      <c r="C3" s="128"/>
      <c r="D3" s="129" t="s">
        <v>114</v>
      </c>
      <c r="E3" s="128"/>
      <c r="F3" s="128"/>
      <c r="G3" s="130"/>
      <c r="H3" s="122"/>
      <c r="I3" s="131"/>
      <c r="J3" s="131"/>
      <c r="K3" s="132" t="s">
        <v>115</v>
      </c>
      <c r="L3" s="131"/>
      <c r="M3" s="131"/>
      <c r="N3" s="122"/>
      <c r="O3" s="1"/>
      <c r="P3" s="1"/>
      <c r="Q3" s="1"/>
      <c r="R3" s="1"/>
      <c r="S3" s="1"/>
    </row>
    <row r="4" customFormat="false" ht="17" hidden="false" customHeight="true" outlineLevel="0" collapsed="false">
      <c r="A4" s="120"/>
      <c r="B4" s="120"/>
      <c r="C4" s="120"/>
      <c r="D4" s="120"/>
      <c r="E4" s="120"/>
      <c r="F4" s="120"/>
      <c r="G4" s="120"/>
      <c r="H4" s="122"/>
      <c r="I4" s="122"/>
      <c r="J4" s="122"/>
      <c r="K4" s="122"/>
      <c r="L4" s="122"/>
      <c r="M4" s="122"/>
      <c r="N4" s="122"/>
      <c r="O4" s="1"/>
      <c r="P4" s="1"/>
      <c r="Q4" s="1"/>
      <c r="R4" s="1"/>
      <c r="S4" s="1"/>
    </row>
    <row r="5" customFormat="false" ht="17" hidden="false" customHeight="true" outlineLevel="0" collapsed="false">
      <c r="A5" s="133"/>
      <c r="B5" s="120"/>
      <c r="C5" s="120"/>
      <c r="D5" s="120"/>
      <c r="E5" s="120"/>
      <c r="F5" s="120"/>
      <c r="G5" s="120"/>
      <c r="H5" s="122"/>
      <c r="I5" s="122"/>
      <c r="J5" s="122"/>
      <c r="K5" s="122"/>
      <c r="L5" s="122"/>
      <c r="M5" s="122"/>
      <c r="N5" s="122"/>
      <c r="O5" s="1"/>
      <c r="P5" s="1"/>
      <c r="Q5" s="1"/>
      <c r="R5" s="1"/>
      <c r="S5" s="1"/>
    </row>
    <row r="6" customFormat="false" ht="17" hidden="false" customHeight="true" outlineLevel="0" collapsed="false">
      <c r="A6" s="120"/>
      <c r="B6" s="120"/>
      <c r="C6" s="120"/>
      <c r="D6" s="120"/>
      <c r="E6" s="120"/>
      <c r="F6" s="120"/>
      <c r="G6" s="120"/>
      <c r="H6" s="122"/>
      <c r="I6" s="122"/>
      <c r="J6" s="134" t="s">
        <v>87</v>
      </c>
      <c r="K6" s="134"/>
      <c r="L6" s="134" t="s">
        <v>88</v>
      </c>
      <c r="M6" s="135"/>
      <c r="N6" s="122"/>
      <c r="O6" s="1"/>
      <c r="P6" s="1"/>
      <c r="Q6" s="1"/>
      <c r="R6" s="1"/>
      <c r="S6" s="1"/>
    </row>
    <row r="7" customFormat="false" ht="32.9" hidden="false" customHeight="true" outlineLevel="0" collapsed="false">
      <c r="A7" s="120"/>
      <c r="B7" s="120"/>
      <c r="C7" s="120"/>
      <c r="D7" s="136"/>
      <c r="E7" s="137" t="s">
        <v>116</v>
      </c>
      <c r="F7" s="138"/>
      <c r="G7" s="120"/>
      <c r="H7" s="122"/>
      <c r="I7" s="122"/>
      <c r="J7" s="26"/>
      <c r="K7" s="139" t="s">
        <v>117</v>
      </c>
      <c r="L7" s="26"/>
      <c r="M7" s="139" t="s">
        <v>117</v>
      </c>
      <c r="N7" s="122"/>
      <c r="O7" s="1"/>
      <c r="P7" s="1"/>
      <c r="Q7" s="1"/>
      <c r="R7" s="1"/>
      <c r="S7" s="1"/>
    </row>
    <row r="8" customFormat="false" ht="17" hidden="false" customHeight="true" outlineLevel="0" collapsed="false">
      <c r="A8" s="120"/>
      <c r="B8" s="120"/>
      <c r="C8" s="120"/>
      <c r="D8" s="120"/>
      <c r="E8" s="120"/>
      <c r="F8" s="120"/>
      <c r="G8" s="120"/>
      <c r="H8" s="122"/>
      <c r="I8" s="122"/>
      <c r="J8" s="122"/>
      <c r="K8" s="122"/>
      <c r="L8" s="122"/>
      <c r="M8" s="122"/>
      <c r="N8" s="122"/>
      <c r="O8" s="1"/>
      <c r="P8" s="1"/>
      <c r="Q8" s="1"/>
      <c r="R8" s="1"/>
      <c r="S8" s="1"/>
    </row>
    <row r="9" customFormat="false" ht="17" hidden="false" customHeight="true" outlineLevel="0" collapsed="false">
      <c r="A9" s="120"/>
      <c r="B9" s="120"/>
      <c r="C9" s="120"/>
      <c r="D9" s="120"/>
      <c r="E9" s="120"/>
      <c r="F9" s="138"/>
      <c r="G9" s="120"/>
      <c r="H9" s="122"/>
      <c r="I9" s="122"/>
      <c r="J9" s="122"/>
      <c r="K9" s="122"/>
      <c r="L9" s="140" t="n">
        <f aca="false">ROUND((L1)/30,1)</f>
        <v>0</v>
      </c>
      <c r="M9" s="122"/>
      <c r="N9" s="122"/>
      <c r="O9" s="1"/>
      <c r="P9" s="1"/>
      <c r="Q9" s="1"/>
      <c r="R9" s="1"/>
      <c r="S9" s="1"/>
    </row>
    <row r="10" customFormat="false" ht="17" hidden="false" customHeight="true" outlineLevel="0" collapsed="false">
      <c r="A10" s="120"/>
      <c r="B10" s="120"/>
      <c r="C10" s="141" t="s">
        <v>87</v>
      </c>
      <c r="D10" s="142"/>
      <c r="E10" s="141" t="s">
        <v>88</v>
      </c>
      <c r="F10" s="142"/>
      <c r="G10" s="120"/>
      <c r="H10" s="122"/>
      <c r="I10" s="122"/>
      <c r="J10" s="122"/>
      <c r="K10" s="122"/>
      <c r="L10" s="122"/>
      <c r="M10" s="122"/>
      <c r="N10" s="122"/>
      <c r="O10" s="1"/>
      <c r="P10" s="1"/>
      <c r="Q10" s="1"/>
      <c r="R10" s="1"/>
      <c r="S10" s="1"/>
    </row>
    <row r="11" customFormat="false" ht="32.9" hidden="false" customHeight="true" outlineLevel="0" collapsed="false">
      <c r="A11" s="120"/>
      <c r="B11" s="120"/>
      <c r="C11" s="143" t="n">
        <f aca="false">VALUE(C39)</f>
        <v>0</v>
      </c>
      <c r="D11" s="144" t="s">
        <v>117</v>
      </c>
      <c r="E11" s="143" t="n">
        <f aca="false">VALUE(F39)</f>
        <v>0</v>
      </c>
      <c r="F11" s="144" t="s">
        <v>117</v>
      </c>
      <c r="G11" s="120"/>
      <c r="H11" s="122"/>
      <c r="I11" s="122"/>
      <c r="J11" s="122"/>
      <c r="K11" s="145" t="n">
        <f aca="false">(J54)+(L54)</f>
        <v>0</v>
      </c>
      <c r="L11" s="146" t="s">
        <v>116</v>
      </c>
      <c r="M11" s="122"/>
      <c r="N11" s="122"/>
      <c r="O11" s="1"/>
      <c r="P11" s="1"/>
      <c r="Q11" s="1"/>
      <c r="R11" s="1"/>
      <c r="S11" s="1"/>
    </row>
    <row r="12" customFormat="false" ht="17" hidden="false" customHeight="true" outlineLevel="0" collapsed="false">
      <c r="A12" s="120"/>
      <c r="B12" s="120"/>
      <c r="C12" s="147"/>
      <c r="D12" s="120"/>
      <c r="E12" s="120"/>
      <c r="F12" s="120"/>
      <c r="G12" s="120"/>
      <c r="H12" s="122"/>
      <c r="I12" s="122"/>
      <c r="J12" s="122"/>
      <c r="K12" s="122"/>
      <c r="L12" s="122"/>
      <c r="M12" s="122"/>
      <c r="N12" s="122"/>
      <c r="O12" s="1"/>
      <c r="P12" s="1"/>
      <c r="Q12" s="1"/>
      <c r="R12" s="1"/>
      <c r="S12" s="1"/>
    </row>
    <row r="13" customFormat="false" ht="17" hidden="false" customHeight="true" outlineLevel="0" collapsed="false">
      <c r="A13" s="120"/>
      <c r="B13" s="120"/>
      <c r="C13" s="147"/>
      <c r="D13" s="120"/>
      <c r="E13" s="148" t="n">
        <f aca="false">ROUND((E11)/30,1)</f>
        <v>0</v>
      </c>
      <c r="F13" s="120"/>
      <c r="G13" s="120"/>
      <c r="H13" s="122"/>
      <c r="I13" s="122"/>
      <c r="J13" s="122"/>
      <c r="K13" s="122"/>
      <c r="L13" s="122"/>
      <c r="M13" s="122"/>
      <c r="N13" s="122"/>
      <c r="O13" s="1"/>
      <c r="P13" s="1"/>
      <c r="Q13" s="1"/>
      <c r="R13" s="1"/>
      <c r="S13" s="1"/>
    </row>
    <row r="14" customFormat="false" ht="17" hidden="false" customHeight="true" outlineLevel="0" collapsed="false">
      <c r="A14" s="120"/>
      <c r="B14" s="120"/>
      <c r="C14" s="147"/>
      <c r="D14" s="120"/>
      <c r="E14" s="120"/>
      <c r="F14" s="120"/>
      <c r="G14" s="120"/>
      <c r="H14" s="122"/>
      <c r="I14" s="122"/>
      <c r="J14" s="149"/>
      <c r="K14" s="122"/>
      <c r="L14" s="122"/>
      <c r="M14" s="122"/>
      <c r="N14" s="122"/>
      <c r="O14" s="1"/>
      <c r="P14" s="1"/>
      <c r="Q14" s="1"/>
      <c r="R14" s="1"/>
      <c r="S14" s="1"/>
    </row>
    <row r="15" customFormat="false" ht="32.9" hidden="false" customHeight="true" outlineLevel="0" collapsed="false">
      <c r="A15" s="120"/>
      <c r="B15" s="120"/>
      <c r="C15" s="150"/>
      <c r="D15" s="151"/>
      <c r="E15" s="120"/>
      <c r="F15" s="120"/>
      <c r="G15" s="120"/>
      <c r="H15" s="122"/>
      <c r="I15" s="122"/>
      <c r="J15" s="152" t="str">
        <f aca="false">TEXT((K11),"いっぱんかく　が　0.00  ")&amp;"cho°　に　なる　ほうがく"</f>
        <v>いっぱんかく　が　0.00  cho°　に　なる　ほうがく</v>
      </c>
      <c r="K15" s="122"/>
      <c r="L15" s="122"/>
      <c r="M15" s="122"/>
      <c r="N15" s="122"/>
      <c r="O15" s="1"/>
      <c r="P15" s="1"/>
      <c r="Q15" s="1"/>
      <c r="R15" s="1"/>
      <c r="S15" s="1"/>
    </row>
    <row r="16" customFormat="false" ht="17" hidden="false" customHeight="true" outlineLevel="0" collapsed="false">
      <c r="A16" s="120"/>
      <c r="B16" s="120"/>
      <c r="C16" s="120"/>
      <c r="D16" s="153"/>
      <c r="E16" s="120"/>
      <c r="F16" s="120"/>
      <c r="G16" s="120"/>
      <c r="H16" s="122"/>
      <c r="I16" s="122"/>
      <c r="J16" s="122"/>
      <c r="K16" s="122"/>
      <c r="L16" s="122"/>
      <c r="M16" s="122"/>
      <c r="N16" s="122"/>
      <c r="O16" s="1"/>
      <c r="P16" s="1"/>
      <c r="Q16" s="1"/>
      <c r="R16" s="1"/>
      <c r="S16" s="1"/>
    </row>
    <row r="17" customFormat="false" ht="17" hidden="false" customHeight="true" outlineLevel="0" collapsed="false">
      <c r="A17" s="120"/>
      <c r="B17" s="153"/>
      <c r="C17" s="153"/>
      <c r="D17" s="153"/>
      <c r="E17" s="120"/>
      <c r="F17" s="120"/>
      <c r="G17" s="120"/>
      <c r="H17" s="122"/>
      <c r="I17" s="122"/>
      <c r="J17" s="122"/>
      <c r="K17" s="122"/>
      <c r="L17" s="122"/>
      <c r="M17" s="122"/>
      <c r="N17" s="122"/>
      <c r="O17" s="1"/>
      <c r="P17" s="1"/>
      <c r="Q17" s="1"/>
      <c r="R17" s="1"/>
      <c r="S17" s="1"/>
    </row>
    <row r="18" customFormat="false" ht="17" hidden="false" customHeight="true" outlineLevel="0" collapsed="false">
      <c r="A18" s="120"/>
      <c r="B18" s="153"/>
      <c r="C18" s="153"/>
      <c r="D18" s="153" t="s">
        <v>118</v>
      </c>
      <c r="E18" s="120"/>
      <c r="F18" s="120"/>
      <c r="G18" s="120"/>
      <c r="H18" s="122"/>
      <c r="I18" s="122"/>
      <c r="J18" s="154" t="s">
        <v>119</v>
      </c>
      <c r="K18" s="155" t="n">
        <f aca="false">200-(K11)</f>
        <v>200</v>
      </c>
      <c r="L18" s="156" t="s">
        <v>24</v>
      </c>
      <c r="M18" s="122"/>
      <c r="N18" s="122"/>
      <c r="O18" s="1"/>
      <c r="P18" s="1"/>
      <c r="Q18" s="1"/>
      <c r="R18" s="1"/>
      <c r="S18" s="1"/>
    </row>
    <row r="19" customFormat="false" ht="17" hidden="false" customHeight="true" outlineLevel="0" collapsed="false">
      <c r="A19" s="120"/>
      <c r="B19" s="120"/>
      <c r="C19" s="120"/>
      <c r="D19" s="153"/>
      <c r="E19" s="120"/>
      <c r="F19" s="120"/>
      <c r="G19" s="120"/>
      <c r="H19" s="122"/>
      <c r="I19" s="122"/>
      <c r="J19" s="122"/>
      <c r="K19" s="135"/>
      <c r="L19" s="122"/>
      <c r="M19" s="122"/>
      <c r="N19" s="122"/>
      <c r="O19" s="1"/>
      <c r="P19" s="1"/>
      <c r="Q19" s="1"/>
      <c r="R19" s="1"/>
      <c r="S19" s="1"/>
    </row>
    <row r="20" customFormat="false" ht="17" hidden="false" customHeight="true" outlineLevel="0" collapsed="false">
      <c r="A20" s="120"/>
      <c r="B20" s="120"/>
      <c r="C20" s="157" t="s">
        <v>87</v>
      </c>
      <c r="D20" s="142"/>
      <c r="E20" s="157" t="s">
        <v>88</v>
      </c>
      <c r="F20" s="120"/>
      <c r="G20" s="120"/>
      <c r="H20" s="122"/>
      <c r="I20" s="122"/>
      <c r="J20" s="154" t="s">
        <v>119</v>
      </c>
      <c r="K20" s="155" t="n">
        <f aca="false">(K11)+200</f>
        <v>200</v>
      </c>
      <c r="L20" s="156" t="s">
        <v>24</v>
      </c>
      <c r="M20" s="122"/>
      <c r="N20" s="122"/>
      <c r="O20" s="1"/>
      <c r="P20" s="1"/>
      <c r="Q20" s="1"/>
      <c r="R20" s="1"/>
      <c r="S20" s="1"/>
    </row>
    <row r="21" customFormat="false" ht="17" hidden="false" customHeight="true" outlineLevel="0" collapsed="false">
      <c r="A21" s="120"/>
      <c r="B21" s="158"/>
      <c r="C21" s="159"/>
      <c r="D21" s="158"/>
      <c r="E21" s="159"/>
      <c r="F21" s="158"/>
      <c r="G21" s="120"/>
      <c r="H21" s="122"/>
      <c r="I21" s="122"/>
      <c r="J21" s="154"/>
      <c r="K21" s="160"/>
      <c r="L21" s="156"/>
      <c r="M21" s="122"/>
      <c r="N21" s="122"/>
      <c r="O21" s="1"/>
      <c r="P21" s="1"/>
      <c r="Q21" s="1"/>
      <c r="R21" s="1"/>
      <c r="S21" s="1"/>
    </row>
    <row r="22" customFormat="false" ht="17" hidden="false" customHeight="true" outlineLevel="0" collapsed="false">
      <c r="A22" s="120"/>
      <c r="B22" s="161" t="s">
        <v>120</v>
      </c>
      <c r="C22" s="162" t="n">
        <f aca="false">(C11)/180*PI()</f>
        <v>0</v>
      </c>
      <c r="D22" s="163" t="s">
        <v>71</v>
      </c>
      <c r="E22" s="162" t="n">
        <f aca="false">(E11)/180*PI()</f>
        <v>0</v>
      </c>
      <c r="F22" s="163" t="s">
        <v>71</v>
      </c>
      <c r="G22" s="120"/>
      <c r="H22" s="122"/>
      <c r="I22" s="122"/>
      <c r="J22" s="154" t="s">
        <v>119</v>
      </c>
      <c r="K22" s="155" t="n">
        <f aca="false">400-(K11)</f>
        <v>400</v>
      </c>
      <c r="L22" s="156" t="s">
        <v>24</v>
      </c>
      <c r="M22" s="122"/>
      <c r="N22" s="122"/>
      <c r="O22" s="1"/>
      <c r="P22" s="1"/>
      <c r="Q22" s="1"/>
      <c r="R22" s="1"/>
      <c r="S22" s="1"/>
    </row>
    <row r="23" customFormat="false" ht="17" hidden="false" customHeight="true" outlineLevel="0" collapsed="false">
      <c r="A23" s="120"/>
      <c r="B23" s="164"/>
      <c r="C23" s="158"/>
      <c r="D23" s="165"/>
      <c r="E23" s="158"/>
      <c r="F23" s="165"/>
      <c r="G23" s="120"/>
      <c r="H23" s="122"/>
      <c r="I23" s="122"/>
      <c r="J23" s="154"/>
      <c r="K23" s="160"/>
      <c r="L23" s="156"/>
      <c r="M23" s="122"/>
      <c r="N23" s="122"/>
      <c r="O23" s="1"/>
      <c r="P23" s="1"/>
      <c r="Q23" s="1"/>
      <c r="R23" s="1"/>
      <c r="S23" s="1"/>
    </row>
    <row r="24" customFormat="false" ht="17" hidden="false" customHeight="true" outlineLevel="0" collapsed="false">
      <c r="A24" s="120"/>
      <c r="B24" s="166"/>
      <c r="C24" s="167"/>
      <c r="D24" s="168"/>
      <c r="E24" s="167"/>
      <c r="F24" s="168"/>
      <c r="G24" s="120"/>
      <c r="H24" s="122"/>
      <c r="I24" s="122"/>
      <c r="J24" s="154" t="s">
        <v>119</v>
      </c>
      <c r="K24" s="155" t="n">
        <f aca="false">(K11)+400</f>
        <v>400</v>
      </c>
      <c r="L24" s="156" t="s">
        <v>24</v>
      </c>
      <c r="M24" s="122"/>
      <c r="N24" s="122"/>
      <c r="O24" s="1"/>
      <c r="P24" s="1"/>
      <c r="Q24" s="1"/>
      <c r="R24" s="1"/>
      <c r="S24" s="1"/>
    </row>
    <row r="25" customFormat="false" ht="17" hidden="false" customHeight="true" outlineLevel="0" collapsed="false">
      <c r="A25" s="120"/>
      <c r="B25" s="169" t="s">
        <v>120</v>
      </c>
      <c r="C25" s="162" t="n">
        <f aca="false">(C11)/180</f>
        <v>0</v>
      </c>
      <c r="D25" s="170" t="s">
        <v>121</v>
      </c>
      <c r="E25" s="171" t="n">
        <f aca="false">(E11)/180</f>
        <v>0</v>
      </c>
      <c r="F25" s="170" t="s">
        <v>121</v>
      </c>
      <c r="G25" s="120"/>
      <c r="H25" s="122"/>
      <c r="I25" s="122"/>
      <c r="J25" s="154"/>
      <c r="K25" s="160"/>
      <c r="L25" s="156"/>
      <c r="M25" s="122"/>
      <c r="N25" s="122"/>
      <c r="O25" s="1"/>
      <c r="P25" s="1"/>
      <c r="Q25" s="1"/>
      <c r="R25" s="1"/>
      <c r="S25" s="1"/>
    </row>
    <row r="26" customFormat="false" ht="17" hidden="false" customHeight="true" outlineLevel="0" collapsed="false">
      <c r="A26" s="120"/>
      <c r="B26" s="172"/>
      <c r="C26" s="172"/>
      <c r="D26" s="172"/>
      <c r="E26" s="172"/>
      <c r="F26" s="172"/>
      <c r="G26" s="120"/>
      <c r="H26" s="122"/>
      <c r="I26" s="122"/>
      <c r="J26" s="122"/>
      <c r="K26" s="135"/>
      <c r="L26" s="122"/>
      <c r="M26" s="122"/>
      <c r="N26" s="122"/>
      <c r="O26" s="1"/>
      <c r="P26" s="1"/>
      <c r="Q26" s="1"/>
      <c r="R26" s="1"/>
      <c r="S26" s="1"/>
    </row>
    <row r="27" customFormat="false" ht="17" hidden="false" customHeight="true" outlineLevel="0" collapsed="false">
      <c r="A27" s="120"/>
      <c r="B27" s="120"/>
      <c r="C27" s="120"/>
      <c r="D27" s="120"/>
      <c r="E27" s="120"/>
      <c r="F27" s="120"/>
      <c r="G27" s="120"/>
      <c r="H27" s="122"/>
      <c r="I27" s="122"/>
      <c r="J27" s="154"/>
      <c r="K27" s="160"/>
      <c r="L27" s="156"/>
      <c r="M27" s="122"/>
      <c r="N27" s="122"/>
      <c r="O27" s="1"/>
      <c r="P27" s="1"/>
      <c r="Q27" s="1"/>
      <c r="R27" s="1"/>
      <c r="S27" s="1"/>
    </row>
    <row r="28" customFormat="false" ht="17" hidden="false" customHeight="true" outlineLevel="0" collapsed="false">
      <c r="A28" s="120"/>
      <c r="B28" s="120"/>
      <c r="C28" s="120"/>
      <c r="D28" s="120"/>
      <c r="E28" s="120"/>
      <c r="F28" s="120"/>
      <c r="G28" s="120"/>
      <c r="H28" s="122"/>
      <c r="I28" s="122"/>
      <c r="J28" s="154" t="s">
        <v>119</v>
      </c>
      <c r="K28" s="155" t="n">
        <f aca="false">-(K11)</f>
        <v>-0</v>
      </c>
      <c r="L28" s="156" t="s">
        <v>24</v>
      </c>
      <c r="M28" s="122"/>
      <c r="N28" s="122"/>
      <c r="O28" s="1"/>
      <c r="P28" s="1"/>
      <c r="Q28" s="1"/>
      <c r="R28" s="1"/>
      <c r="S28" s="1"/>
    </row>
    <row r="29" customFormat="false" ht="17" hidden="false" customHeight="true" outlineLevel="0" collapsed="false">
      <c r="A29" s="120"/>
      <c r="B29" s="120"/>
      <c r="C29" s="120"/>
      <c r="D29" s="120"/>
      <c r="E29" s="120"/>
      <c r="F29" s="120"/>
      <c r="G29" s="120"/>
      <c r="H29" s="122"/>
      <c r="I29" s="122"/>
      <c r="J29" s="154"/>
      <c r="K29" s="160"/>
      <c r="L29" s="156"/>
      <c r="M29" s="122"/>
      <c r="N29" s="122"/>
      <c r="O29" s="1"/>
      <c r="P29" s="1"/>
      <c r="Q29" s="1"/>
      <c r="R29" s="1"/>
      <c r="S29" s="1"/>
    </row>
    <row r="30" customFormat="false" ht="17" hidden="false" customHeight="true" outlineLevel="0" collapsed="false">
      <c r="A30" s="120"/>
      <c r="B30" s="120"/>
      <c r="C30" s="120"/>
      <c r="D30" s="120"/>
      <c r="E30" s="120"/>
      <c r="F30" s="120"/>
      <c r="G30" s="120"/>
      <c r="H30" s="122"/>
      <c r="I30" s="122"/>
      <c r="J30" s="154" t="s">
        <v>119</v>
      </c>
      <c r="K30" s="155" t="n">
        <f aca="false">(K11)-200</f>
        <v>-200</v>
      </c>
      <c r="L30" s="156" t="s">
        <v>24</v>
      </c>
      <c r="M30" s="122"/>
      <c r="N30" s="122"/>
      <c r="O30" s="1"/>
      <c r="P30" s="1"/>
      <c r="Q30" s="1"/>
      <c r="R30" s="1"/>
      <c r="S30" s="1"/>
    </row>
    <row r="31" customFormat="false" ht="17" hidden="false" customHeight="true" outlineLevel="0" collapsed="false">
      <c r="A31" s="120"/>
      <c r="B31" s="120"/>
      <c r="C31" s="120"/>
      <c r="D31" s="120"/>
      <c r="E31" s="120"/>
      <c r="F31" s="120"/>
      <c r="G31" s="120"/>
      <c r="H31" s="122"/>
      <c r="I31" s="122"/>
      <c r="J31" s="122"/>
      <c r="K31" s="122"/>
      <c r="L31" s="122"/>
      <c r="M31" s="122"/>
      <c r="N31" s="122"/>
      <c r="O31" s="1"/>
      <c r="P31" s="1"/>
      <c r="Q31" s="1"/>
      <c r="R31" s="1"/>
      <c r="S31" s="1"/>
    </row>
    <row r="32" customFormat="false" ht="17" hidden="false" customHeight="true" outlineLevel="0" collapsed="false">
      <c r="A32" s="120"/>
      <c r="B32" s="120"/>
      <c r="C32" s="120"/>
      <c r="D32" s="120"/>
      <c r="E32" s="120"/>
      <c r="F32" s="120"/>
      <c r="G32" s="120"/>
      <c r="H32" s="122"/>
      <c r="I32" s="122"/>
      <c r="J32" s="122"/>
      <c r="K32" s="122"/>
      <c r="L32" s="122"/>
      <c r="M32" s="122"/>
      <c r="N32" s="122"/>
      <c r="O32" s="1"/>
      <c r="P32" s="1"/>
      <c r="Q32" s="1"/>
      <c r="R32" s="1"/>
      <c r="S32" s="1"/>
    </row>
    <row r="33" customFormat="false" ht="17" hidden="false" customHeight="true" outlineLevel="0" collapsed="false">
      <c r="A33" s="120"/>
      <c r="B33" s="120"/>
      <c r="C33" s="120"/>
      <c r="D33" s="120"/>
      <c r="E33" s="120"/>
      <c r="F33" s="120"/>
      <c r="G33" s="120"/>
      <c r="H33" s="122"/>
      <c r="I33" s="122"/>
      <c r="J33" s="122"/>
      <c r="K33" s="122"/>
      <c r="L33" s="122"/>
      <c r="M33" s="122"/>
      <c r="N33" s="122"/>
      <c r="O33" s="1"/>
      <c r="P33" s="1"/>
      <c r="Q33" s="1"/>
      <c r="R33" s="1"/>
      <c r="S33" s="1"/>
    </row>
    <row r="34" customFormat="false" ht="17" hidden="false" customHeight="true" outlineLevel="0" collapsed="false">
      <c r="A34" s="173"/>
      <c r="B34" s="174"/>
      <c r="C34" s="175"/>
      <c r="D34" s="176"/>
      <c r="E34" s="177"/>
      <c r="F34" s="176"/>
      <c r="G34" s="178"/>
      <c r="O34" s="1"/>
      <c r="P34" s="1"/>
      <c r="Q34" s="1"/>
      <c r="R34" s="1"/>
      <c r="S34" s="1"/>
    </row>
    <row r="35" customFormat="false" ht="17" hidden="false" customHeight="true" outlineLevel="0" collapsed="false">
      <c r="A35" s="173"/>
      <c r="B35" s="179"/>
      <c r="C35" s="180"/>
      <c r="D35" s="173"/>
      <c r="E35" s="180"/>
      <c r="F35" s="173"/>
      <c r="G35" s="178"/>
      <c r="O35" s="1"/>
      <c r="P35" s="1"/>
      <c r="Q35" s="1"/>
      <c r="R35" s="1"/>
      <c r="S35" s="1"/>
    </row>
    <row r="36" customFormat="false" ht="17" hidden="false" customHeight="true" outlineLevel="0" collapsed="false">
      <c r="A36" s="173"/>
      <c r="B36" s="174"/>
      <c r="C36" s="181"/>
      <c r="D36" s="176"/>
      <c r="E36" s="177"/>
      <c r="F36" s="176"/>
      <c r="G36" s="178"/>
      <c r="M36" s="176"/>
      <c r="O36" s="1"/>
      <c r="P36" s="1"/>
      <c r="Q36" s="1"/>
      <c r="R36" s="1"/>
      <c r="S36" s="1"/>
    </row>
    <row r="37" customFormat="false" ht="17" hidden="false" customHeight="true" outlineLevel="0" collapsed="false">
      <c r="B37" s="66" t="s">
        <v>122</v>
      </c>
      <c r="C37" s="67" t="str">
        <f aca="false">TEXT(  RIGHT(INT(D1/10)),0 ) &amp; "." &amp; TEXT(  RIGHT(INT(D1*10^1)),0 ) &amp; TEXT(  RIGHT(INT(D1*10^3)),0 ) &amp; TEXT(  RIGHT(INT(D1*10^5)),0 ) &amp; TEXT(  RIGHT(INT(D1*10^7)),0 ) &amp; TEXT(  RIGHT(INT(D1*10^9)),0 ) &amp; TEXT(  RIGHT(INT(D1*10^11)),0 ) &amp; TEXT(  RIGHT(INT(D1*10^13)),0 )</f>
        <v>0.0000000</v>
      </c>
      <c r="D37" s="68" t="s">
        <v>69</v>
      </c>
      <c r="E37" s="69" t="s">
        <v>123</v>
      </c>
      <c r="F37" s="67" t="str">
        <f aca="false">TEXT(  RIGHT(INT(D1*10^0)),0 ) &amp; "." &amp; TEXT(  RIGHT(INT(D1*10^2)),0 ) &amp;  TEXT(  RIGHT(INT(D1*10^4)),0 ) &amp; TEXT(  RIGHT(INT(D1*10^6)),0 ) &amp; TEXT(  RIGHT(INT(D1*10^8)),0 ) &amp; TEXT(  RIGHT(INT(D1*10^10)),0 ) &amp; TEXT(  RIGHT(INT(D1*10^12)),0 ) &amp; TEXT(  RIGHT(INT(D1*10^14)),0  )</f>
        <v>0.0000000</v>
      </c>
      <c r="G37" s="70" t="s">
        <v>70</v>
      </c>
    </row>
    <row r="38" customFormat="false" ht="17" hidden="false" customHeight="true" outlineLevel="0" collapsed="false">
      <c r="B38" s="71" t="s">
        <v>122</v>
      </c>
      <c r="C38" s="72" t="n">
        <f aca="false">RADIANS(C39)</f>
        <v>0</v>
      </c>
      <c r="D38" s="73" t="s">
        <v>71</v>
      </c>
      <c r="E38" s="74" t="s">
        <v>123</v>
      </c>
      <c r="F38" s="72" t="n">
        <f aca="false">RADIANS(F39)</f>
        <v>0</v>
      </c>
      <c r="G38" s="75" t="s">
        <v>71</v>
      </c>
    </row>
    <row r="39" customFormat="false" ht="17" hidden="false" customHeight="true" outlineLevel="0" collapsed="false">
      <c r="B39" s="76" t="s">
        <v>122</v>
      </c>
      <c r="C39" s="77" t="n">
        <f aca="false">IF( D1=100 , 180 , (C37)*18  )</f>
        <v>0</v>
      </c>
      <c r="D39" s="78" t="s">
        <v>13</v>
      </c>
      <c r="E39" s="79" t="s">
        <v>123</v>
      </c>
      <c r="F39" s="77" t="n">
        <f aca="false">(F37)*36</f>
        <v>0</v>
      </c>
      <c r="G39" s="80" t="s">
        <v>13</v>
      </c>
      <c r="J39" s="182" t="s">
        <v>124</v>
      </c>
      <c r="K39" s="182"/>
      <c r="L39" s="182" t="s">
        <v>125</v>
      </c>
    </row>
    <row r="40" customFormat="false" ht="17" hidden="false" customHeight="true" outlineLevel="0" collapsed="false">
      <c r="B40" s="183"/>
      <c r="G40" s="184"/>
    </row>
    <row r="41" customFormat="false" ht="17" hidden="false" customHeight="true" outlineLevel="0" collapsed="false">
      <c r="C41" s="184"/>
      <c r="E41" s="184"/>
      <c r="J41" s="184" t="s">
        <v>126</v>
      </c>
      <c r="L41" s="184" t="s">
        <v>127</v>
      </c>
    </row>
    <row r="42" customFormat="false" ht="17" hidden="false" customHeight="true" outlineLevel="0" collapsed="false"/>
    <row r="43" customFormat="false" ht="17" hidden="false" customHeight="true" outlineLevel="0" collapsed="false">
      <c r="C43" s="185"/>
      <c r="D43" s="186"/>
      <c r="E43" s="178"/>
      <c r="F43" s="184"/>
      <c r="J43" s="187" t="n">
        <f aca="false">(J1)/18*10^6</f>
        <v>0</v>
      </c>
      <c r="K43" s="188" t="s">
        <v>128</v>
      </c>
      <c r="L43" s="187" t="n">
        <f aca="false">(L1)/36*10^6</f>
        <v>0</v>
      </c>
      <c r="M43" s="189" t="s">
        <v>129</v>
      </c>
    </row>
    <row r="44" customFormat="false" ht="17" hidden="false" customHeight="true" outlineLevel="0" collapsed="false">
      <c r="I44" s="190"/>
    </row>
    <row r="45" customFormat="false" ht="17" hidden="false" customHeight="true" outlineLevel="0" collapsed="false">
      <c r="C45" s="191"/>
      <c r="D45" s="192"/>
      <c r="E45" s="191"/>
      <c r="I45" s="190"/>
      <c r="K45" s="190"/>
    </row>
    <row r="46" customFormat="false" ht="17" hidden="false" customHeight="true" outlineLevel="0" collapsed="false">
      <c r="B46" s="191"/>
      <c r="C46" s="178"/>
      <c r="I46" s="193" t="s">
        <v>130</v>
      </c>
      <c r="J46" s="194" t="n">
        <f aca="false">ROUNDDOWN(J43,-6)/10^5</f>
        <v>0</v>
      </c>
      <c r="K46" s="193" t="s">
        <v>130</v>
      </c>
      <c r="L46" s="194" t="n">
        <f aca="false">ROUNDDOWN(L43,-6)/10^6</f>
        <v>0</v>
      </c>
    </row>
    <row r="47" customFormat="false" ht="17" hidden="false" customHeight="true" outlineLevel="0" collapsed="false">
      <c r="C47" s="195"/>
      <c r="E47" s="195"/>
      <c r="I47" s="193" t="s">
        <v>131</v>
      </c>
      <c r="J47" s="194" t="n">
        <f aca="false">MOD(ROUNDDOWN(J43,-5),1000000)/10^6</f>
        <v>0</v>
      </c>
      <c r="K47" s="193" t="s">
        <v>131</v>
      </c>
      <c r="L47" s="194" t="n">
        <f aca="false">MOD(ROUNDDOWN(L43,-5),1000000)/10^7</f>
        <v>0</v>
      </c>
    </row>
    <row r="48" customFormat="false" ht="17" hidden="false" customHeight="true" outlineLevel="0" collapsed="false">
      <c r="B48" s="192"/>
      <c r="C48" s="196"/>
      <c r="D48" s="192"/>
      <c r="E48" s="196"/>
      <c r="G48" s="197"/>
      <c r="I48" s="193" t="s">
        <v>132</v>
      </c>
      <c r="J48" s="194" t="n">
        <f aca="false">MOD(ROUNDDOWN(J43,-4),100000)/10^7</f>
        <v>0</v>
      </c>
      <c r="K48" s="193" t="s">
        <v>132</v>
      </c>
      <c r="L48" s="194" t="n">
        <f aca="false">MOD(ROUNDDOWN(L43,-4),100000)/10^8</f>
        <v>0</v>
      </c>
    </row>
    <row r="49" customFormat="false" ht="17" hidden="false" customHeight="true" outlineLevel="0" collapsed="false">
      <c r="A49" s="178"/>
      <c r="C49" s="198"/>
      <c r="E49" s="195"/>
      <c r="G49" s="199"/>
      <c r="I49" s="193" t="n">
        <v>1000</v>
      </c>
      <c r="J49" s="194" t="n">
        <f aca="false">MOD(ROUNDDOWN(J43,-3),10000)/10^8</f>
        <v>0</v>
      </c>
      <c r="K49" s="193" t="n">
        <v>1000</v>
      </c>
      <c r="L49" s="194" t="n">
        <f aca="false">MOD(ROUNDDOWN(L43,-3),10000)/10^9</f>
        <v>0</v>
      </c>
    </row>
    <row r="50" customFormat="false" ht="17" hidden="false" customHeight="true" outlineLevel="0" collapsed="false">
      <c r="C50" s="200"/>
      <c r="D50" s="199"/>
      <c r="E50" s="200"/>
      <c r="I50" s="193" t="n">
        <v>100</v>
      </c>
      <c r="J50" s="194" t="n">
        <f aca="false">MOD(ROUNDDOWN(J43,-2),1000)/10^9</f>
        <v>0</v>
      </c>
      <c r="K50" s="193" t="n">
        <v>100</v>
      </c>
      <c r="L50" s="194" t="n">
        <f aca="false">MOD(ROUNDDOWN(L43,-2),1000)/10^10</f>
        <v>0</v>
      </c>
    </row>
    <row r="51" customFormat="false" ht="17" hidden="false" customHeight="true" outlineLevel="0" collapsed="false">
      <c r="C51" s="201"/>
      <c r="D51" s="191"/>
      <c r="E51" s="201"/>
      <c r="I51" s="193" t="n">
        <v>10</v>
      </c>
      <c r="J51" s="194" t="n">
        <f aca="false">MOD(ROUNDDOWN(J43,-1),100)/10^10</f>
        <v>0</v>
      </c>
      <c r="K51" s="193" t="n">
        <v>10</v>
      </c>
      <c r="L51" s="202" t="n">
        <f aca="false">MOD(ROUNDDOWN(L43,-1),100)/10^11</f>
        <v>0</v>
      </c>
    </row>
    <row r="52" customFormat="false" ht="17" hidden="false" customHeight="true" outlineLevel="0" collapsed="false">
      <c r="C52" s="203"/>
      <c r="E52" s="203"/>
      <c r="I52" s="193" t="n">
        <v>1</v>
      </c>
      <c r="J52" s="204" t="n">
        <f aca="false">MOD(ROUNDDOWN(J43,0),10)/10^11</f>
        <v>0</v>
      </c>
      <c r="K52" s="193" t="n">
        <v>1</v>
      </c>
      <c r="L52" s="205" t="n">
        <f aca="false">MOD(ROUNDDOWN(L43,0),10)/10^12</f>
        <v>0</v>
      </c>
    </row>
    <row r="53" customFormat="false" ht="17" hidden="false" customHeight="true" outlineLevel="0" collapsed="false">
      <c r="A53" s="178"/>
      <c r="B53" s="178"/>
      <c r="C53" s="206"/>
      <c r="D53" s="206"/>
      <c r="E53" s="206"/>
      <c r="F53" s="178"/>
      <c r="I53" s="190"/>
    </row>
    <row r="54" customFormat="false" ht="17" hidden="false" customHeight="true" outlineLevel="0" collapsed="false">
      <c r="A54" s="178"/>
      <c r="B54" s="178"/>
      <c r="C54" s="206"/>
      <c r="D54" s="206"/>
      <c r="E54" s="206"/>
      <c r="F54" s="178"/>
      <c r="J54" s="0" t="n">
        <f aca="false">SUM(J46:J52)</f>
        <v>0</v>
      </c>
      <c r="K54" s="207" t="s">
        <v>133</v>
      </c>
      <c r="L54" s="0" t="n">
        <f aca="false">SUM(L46:L52)</f>
        <v>0</v>
      </c>
      <c r="M54" s="208" t="s">
        <v>134</v>
      </c>
    </row>
    <row r="55" customFormat="false" ht="17" hidden="false" customHeight="true" outlineLevel="0" collapsed="false">
      <c r="A55" s="178"/>
      <c r="B55" s="178"/>
      <c r="C55" s="206"/>
      <c r="D55" s="206"/>
      <c r="E55" s="209"/>
      <c r="F55" s="178"/>
    </row>
    <row r="56" customFormat="false" ht="17" hidden="false" customHeight="true" outlineLevel="0" collapsed="false">
      <c r="G56" s="210"/>
      <c r="H56" s="211"/>
      <c r="I56" s="210"/>
      <c r="J56" s="211"/>
      <c r="K56" s="190"/>
      <c r="L56" s="190"/>
      <c r="M56" s="190"/>
      <c r="O56" s="212"/>
      <c r="P56" s="213"/>
      <c r="Q56" s="213"/>
      <c r="R56" s="213"/>
      <c r="S56" s="213"/>
      <c r="T56" s="214"/>
    </row>
    <row r="57" customFormat="false" ht="17" hidden="false" customHeight="true" outlineLevel="0" collapsed="false">
      <c r="C57" s="185"/>
      <c r="D57" s="186"/>
      <c r="E57" s="178"/>
      <c r="F57" s="184"/>
    </row>
    <row r="58" customFormat="false" ht="17" hidden="false" customHeight="true" outlineLevel="0" collapsed="false"/>
    <row r="59" customFormat="false" ht="17" hidden="false" customHeight="true" outlineLevel="0" collapsed="false">
      <c r="C59" s="199"/>
      <c r="D59" s="199"/>
      <c r="M59" s="199"/>
      <c r="N59" s="199"/>
      <c r="O59" s="199"/>
    </row>
    <row r="60" customFormat="false" ht="17" hidden="false" customHeight="true" outlineLevel="0" collapsed="false">
      <c r="B60" s="178"/>
      <c r="C60" s="215"/>
      <c r="D60" s="206"/>
    </row>
    <row r="61" customFormat="false" ht="17" hidden="false" customHeight="true" outlineLevel="0" collapsed="false">
      <c r="C61" s="206"/>
      <c r="D61" s="216"/>
      <c r="E61" s="178"/>
    </row>
    <row r="62" customFormat="false" ht="17" hidden="false" customHeight="true" outlineLevel="0" collapsed="false">
      <c r="C62" s="178"/>
      <c r="D62" s="217"/>
      <c r="E62" s="178"/>
    </row>
    <row r="63" customFormat="false" ht="17" hidden="false" customHeight="true" outlineLevel="0" collapsed="false">
      <c r="C63" s="178"/>
      <c r="D63" s="178"/>
      <c r="E63" s="178"/>
      <c r="G63" s="199"/>
    </row>
    <row r="64" customFormat="false" ht="17" hidden="false" customHeight="true" outlineLevel="0" collapsed="false"/>
    <row r="65" customFormat="false" ht="17" hidden="false" customHeight="true" outlineLevel="0" collapsed="false"/>
    <row r="70" customFormat="false" ht="12.8" hidden="false" customHeight="false" outlineLevel="0" collapsed="false">
      <c r="A70" s="19" t="s">
        <v>135</v>
      </c>
      <c r="B70" s="19" t="s">
        <v>136</v>
      </c>
      <c r="C70" s="1"/>
      <c r="D70" s="1"/>
      <c r="E70" s="1"/>
      <c r="F70" s="19"/>
      <c r="G70" s="19"/>
      <c r="H70" s="19"/>
      <c r="I70" s="19"/>
    </row>
    <row r="71" customFormat="false" ht="16.4" hidden="false" customHeight="false" outlineLevel="0" collapsed="false">
      <c r="A71" s="19" t="s">
        <v>137</v>
      </c>
      <c r="B71" s="40" t="s">
        <v>138</v>
      </c>
      <c r="C71" s="1"/>
      <c r="D71" s="1"/>
      <c r="E71" s="1"/>
      <c r="F71" s="19"/>
      <c r="G71" s="19"/>
      <c r="H71" s="19"/>
      <c r="I71" s="19"/>
    </row>
    <row r="72" customFormat="false" ht="16.4" hidden="false" customHeight="false" outlineLevel="0" collapsed="false">
      <c r="A72" s="19"/>
      <c r="B72" s="40" t="s">
        <v>139</v>
      </c>
      <c r="C72" s="1"/>
      <c r="D72" s="1"/>
      <c r="E72" s="1"/>
      <c r="F72" s="19"/>
      <c r="G72" s="19"/>
      <c r="H72" s="19"/>
      <c r="I72" s="19"/>
    </row>
    <row r="73" customFormat="false" ht="16.4" hidden="false" customHeight="false" outlineLevel="0" collapsed="false">
      <c r="A73" s="19"/>
      <c r="B73" s="40" t="s">
        <v>140</v>
      </c>
      <c r="C73" s="1"/>
      <c r="D73" s="1"/>
      <c r="E73" s="1"/>
      <c r="F73" s="19"/>
      <c r="G73" s="19"/>
      <c r="H73" s="19"/>
      <c r="I73" s="19"/>
    </row>
    <row r="74" customFormat="false" ht="12.8" hidden="false" customHeight="false" outlineLevel="0" collapsed="false">
      <c r="A74" s="19"/>
      <c r="B74" s="19" t="s">
        <v>141</v>
      </c>
      <c r="C74" s="19"/>
      <c r="D74" s="1"/>
      <c r="E74" s="1"/>
      <c r="F74" s="19"/>
      <c r="G74" s="19"/>
      <c r="H74" s="19"/>
      <c r="I74" s="19"/>
    </row>
    <row r="75" customFormat="false" ht="16.4" hidden="false" customHeight="false" outlineLevel="0" collapsed="false">
      <c r="A75" s="19"/>
      <c r="B75" s="40" t="s">
        <v>142</v>
      </c>
      <c r="C75" s="1"/>
      <c r="D75" s="1"/>
      <c r="E75" s="1"/>
      <c r="F75" s="19"/>
      <c r="G75" s="19"/>
      <c r="H75" s="19"/>
      <c r="I75" s="19"/>
    </row>
    <row r="76" customFormat="false" ht="16.4" hidden="false" customHeight="false" outlineLevel="0" collapsed="false">
      <c r="A76" s="19"/>
      <c r="B76" s="40" t="s">
        <v>143</v>
      </c>
      <c r="C76" s="1"/>
      <c r="D76" s="1"/>
      <c r="E76" s="1"/>
      <c r="F76" s="19"/>
      <c r="G76" s="19"/>
      <c r="H76" s="19"/>
      <c r="I76" s="19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491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2025-09-08T23:36:21Z</dcterms:modified>
  <cp:revision>100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